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/>
  <mc:AlternateContent xmlns:mc="http://schemas.openxmlformats.org/markup-compatibility/2006">
    <mc:Choice Requires="x15">
      <x15ac:absPath xmlns:x15ac="http://schemas.microsoft.com/office/spreadsheetml/2010/11/ac" url="C:\Users\Laura\Desktop\"/>
    </mc:Choice>
  </mc:AlternateContent>
  <bookViews>
    <workbookView xWindow="0" yWindow="465" windowWidth="28800" windowHeight="17460" tabRatio="500"/>
  </bookViews>
  <sheets>
    <sheet name="Predição de valor energético" sheetId="1" r:id="rId1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25" i="1" l="1"/>
  <c r="AA26" i="1"/>
  <c r="AA27" i="1"/>
  <c r="AA28" i="1"/>
  <c r="AA29" i="1"/>
  <c r="AA35" i="1"/>
  <c r="AH25" i="1"/>
  <c r="AD39" i="1"/>
  <c r="AE39" i="1"/>
  <c r="AH26" i="1"/>
  <c r="AD40" i="1"/>
  <c r="AE40" i="1"/>
  <c r="AH27" i="1"/>
  <c r="AD41" i="1"/>
  <c r="AE41" i="1"/>
  <c r="AH28" i="1"/>
  <c r="AD42" i="1"/>
  <c r="AE42" i="1"/>
  <c r="AH29" i="1"/>
  <c r="AD43" i="1"/>
  <c r="AE43" i="1"/>
  <c r="AE49" i="1"/>
  <c r="H68" i="1"/>
  <c r="H69" i="1"/>
  <c r="G50" i="1"/>
  <c r="G49" i="1"/>
  <c r="H67" i="1"/>
  <c r="G48" i="1"/>
  <c r="H48" i="1"/>
  <c r="I67" i="1"/>
  <c r="H49" i="1"/>
  <c r="I68" i="1"/>
  <c r="I49" i="1"/>
  <c r="H50" i="1"/>
  <c r="I69" i="1"/>
  <c r="I50" i="1"/>
  <c r="I65" i="1"/>
  <c r="I48" i="1"/>
  <c r="J68" i="1"/>
  <c r="K68" i="1"/>
  <c r="K49" i="1"/>
  <c r="D31" i="1"/>
  <c r="D32" i="1"/>
  <c r="D33" i="1"/>
  <c r="D34" i="1"/>
  <c r="E58" i="1"/>
  <c r="E57" i="1"/>
  <c r="AA33" i="1"/>
  <c r="AA34" i="1"/>
  <c r="AA30" i="1"/>
  <c r="AA31" i="1"/>
  <c r="AA32" i="1"/>
  <c r="AH30" i="1"/>
  <c r="AH31" i="1"/>
  <c r="AH32" i="1"/>
  <c r="AH33" i="1"/>
  <c r="AH34" i="1"/>
  <c r="AH35" i="1"/>
  <c r="K36" i="1"/>
  <c r="AI25" i="1"/>
  <c r="AI26" i="1"/>
  <c r="AI27" i="1"/>
  <c r="AI28" i="1"/>
  <c r="AI29" i="1"/>
  <c r="AI30" i="1"/>
  <c r="AI31" i="1"/>
  <c r="AI32" i="1"/>
  <c r="AI33" i="1"/>
  <c r="AI34" i="1"/>
  <c r="AI35" i="1"/>
  <c r="L36" i="1"/>
  <c r="AJ25" i="1"/>
  <c r="AJ26" i="1"/>
  <c r="AJ27" i="1"/>
  <c r="AJ28" i="1"/>
  <c r="AJ29" i="1"/>
  <c r="AJ30" i="1"/>
  <c r="AJ31" i="1"/>
  <c r="AJ32" i="1"/>
  <c r="AJ33" i="1"/>
  <c r="AJ34" i="1"/>
  <c r="AJ35" i="1"/>
  <c r="M36" i="1"/>
  <c r="E94" i="1"/>
  <c r="E50" i="1"/>
  <c r="AA64" i="1"/>
  <c r="AA65" i="1"/>
  <c r="AA56" i="1"/>
  <c r="AA57" i="1"/>
  <c r="AA58" i="1"/>
  <c r="AA59" i="1"/>
  <c r="AA60" i="1"/>
  <c r="AA61" i="1"/>
  <c r="AA62" i="1"/>
  <c r="AA63" i="1"/>
  <c r="AA66" i="1"/>
  <c r="AH56" i="1"/>
  <c r="AE69" i="1"/>
  <c r="AH57" i="1"/>
  <c r="AI57" i="1"/>
  <c r="AE70" i="1"/>
  <c r="AH58" i="1"/>
  <c r="AI58" i="1"/>
  <c r="AE71" i="1"/>
  <c r="AH59" i="1"/>
  <c r="AI59" i="1"/>
  <c r="AE72" i="1"/>
  <c r="AH60" i="1"/>
  <c r="AI60" i="1"/>
  <c r="AE73" i="1"/>
  <c r="AH61" i="1"/>
  <c r="AI61" i="1"/>
  <c r="AE74" i="1"/>
  <c r="AH62" i="1"/>
  <c r="AI62" i="1"/>
  <c r="AE75" i="1"/>
  <c r="AH63" i="1"/>
  <c r="AI63" i="1"/>
  <c r="AE76" i="1"/>
  <c r="AH64" i="1"/>
  <c r="AE77" i="1"/>
  <c r="AH65" i="1"/>
  <c r="AE78" i="1"/>
  <c r="AE79" i="1"/>
  <c r="E95" i="1"/>
  <c r="F50" i="1"/>
  <c r="AC44" i="1"/>
  <c r="AD44" i="1"/>
  <c r="AE44" i="1"/>
  <c r="AD45" i="1"/>
  <c r="AE45" i="1"/>
  <c r="AD46" i="1"/>
  <c r="AE46" i="1"/>
  <c r="AC41" i="1"/>
  <c r="AC39" i="1"/>
  <c r="N32" i="1"/>
  <c r="D50" i="1"/>
  <c r="J69" i="1"/>
  <c r="K69" i="1"/>
  <c r="K50" i="1"/>
  <c r="J50" i="1"/>
  <c r="C50" i="1"/>
  <c r="F69" i="1"/>
  <c r="C46" i="1"/>
  <c r="N28" i="1"/>
  <c r="D46" i="1"/>
  <c r="E46" i="1"/>
  <c r="F65" i="1"/>
  <c r="H65" i="1"/>
  <c r="H46" i="1"/>
  <c r="G46" i="1"/>
  <c r="I46" i="1"/>
  <c r="AK28" i="1"/>
  <c r="AK33" i="1"/>
  <c r="N25" i="1"/>
  <c r="AK25" i="1"/>
  <c r="AK26" i="1"/>
  <c r="N27" i="1"/>
  <c r="AK27" i="1"/>
  <c r="N29" i="1"/>
  <c r="AK29" i="1"/>
  <c r="N30" i="1"/>
  <c r="AK30" i="1"/>
  <c r="AK31" i="1"/>
  <c r="AK32" i="1"/>
  <c r="AK34" i="1"/>
  <c r="AK35" i="1"/>
  <c r="N36" i="1"/>
  <c r="C18" i="1"/>
  <c r="H14" i="1"/>
  <c r="G16" i="1"/>
  <c r="C20" i="1"/>
  <c r="C21" i="1"/>
  <c r="D21" i="1"/>
  <c r="B52" i="1"/>
  <c r="B58" i="1"/>
  <c r="B51" i="1"/>
  <c r="B57" i="1"/>
  <c r="D36" i="1"/>
  <c r="D38" i="1"/>
  <c r="AD25" i="1"/>
  <c r="AD26" i="1"/>
  <c r="AD27" i="1"/>
  <c r="AD28" i="1"/>
  <c r="AD29" i="1"/>
  <c r="AD30" i="1"/>
  <c r="AD31" i="1"/>
  <c r="AD32" i="1"/>
  <c r="AD33" i="1"/>
  <c r="AD34" i="1"/>
  <c r="AD35" i="1"/>
  <c r="G36" i="1"/>
  <c r="AL33" i="1"/>
  <c r="AL34" i="1"/>
  <c r="AL25" i="1"/>
  <c r="AL26" i="1"/>
  <c r="AL27" i="1"/>
  <c r="AL28" i="1"/>
  <c r="AL29" i="1"/>
  <c r="AL30" i="1"/>
  <c r="AL31" i="1"/>
  <c r="AL32" i="1"/>
  <c r="AL35" i="1"/>
  <c r="O36" i="1"/>
  <c r="AC43" i="1"/>
  <c r="AD47" i="1"/>
  <c r="AE47" i="1"/>
  <c r="AD48" i="1"/>
  <c r="AE48" i="1"/>
  <c r="G62" i="1"/>
  <c r="H53" i="1"/>
  <c r="D37" i="1"/>
  <c r="AD56" i="1"/>
  <c r="AD57" i="1"/>
  <c r="AD58" i="1"/>
  <c r="AD59" i="1"/>
  <c r="AD60" i="1"/>
  <c r="AD61" i="1"/>
  <c r="AD62" i="1"/>
  <c r="AD63" i="1"/>
  <c r="AD64" i="1"/>
  <c r="AD65" i="1"/>
  <c r="AD66" i="1"/>
  <c r="G37" i="1"/>
  <c r="AL64" i="1"/>
  <c r="AL65" i="1"/>
  <c r="AL56" i="1"/>
  <c r="AL57" i="1"/>
  <c r="AL58" i="1"/>
  <c r="AL59" i="1"/>
  <c r="AL60" i="1"/>
  <c r="AL61" i="1"/>
  <c r="AL62" i="1"/>
  <c r="AL63" i="1"/>
  <c r="AL66" i="1"/>
  <c r="O37" i="1"/>
  <c r="H54" i="1"/>
  <c r="H55" i="1"/>
  <c r="N26" i="1"/>
  <c r="N31" i="1"/>
  <c r="N39" i="1"/>
  <c r="N40" i="1"/>
  <c r="N38" i="1"/>
  <c r="D55" i="1"/>
  <c r="G53" i="1"/>
  <c r="G54" i="1"/>
  <c r="G55" i="1"/>
  <c r="J55" i="1"/>
  <c r="K55" i="1"/>
  <c r="AK56" i="1"/>
  <c r="AK57" i="1"/>
  <c r="AK58" i="1"/>
  <c r="AK59" i="1"/>
  <c r="AK60" i="1"/>
  <c r="AK61" i="1"/>
  <c r="AK62" i="1"/>
  <c r="AK63" i="1"/>
  <c r="AK64" i="1"/>
  <c r="AK65" i="1"/>
  <c r="AK66" i="1"/>
  <c r="N37" i="1"/>
  <c r="D54" i="1"/>
  <c r="J54" i="1"/>
  <c r="K54" i="1"/>
  <c r="D53" i="1"/>
  <c r="J53" i="1"/>
  <c r="K53" i="1"/>
  <c r="AG64" i="1"/>
  <c r="AG65" i="1"/>
  <c r="AG56" i="1"/>
  <c r="AG57" i="1"/>
  <c r="AG58" i="1"/>
  <c r="AG59" i="1"/>
  <c r="AG60" i="1"/>
  <c r="AG61" i="1"/>
  <c r="AG62" i="1"/>
  <c r="AG63" i="1"/>
  <c r="AG66" i="1"/>
  <c r="J37" i="1"/>
  <c r="C54" i="1"/>
  <c r="I54" i="1"/>
  <c r="J38" i="1"/>
  <c r="C55" i="1"/>
  <c r="I55" i="1"/>
  <c r="AG25" i="1"/>
  <c r="AG26" i="1"/>
  <c r="AG27" i="1"/>
  <c r="AG28" i="1"/>
  <c r="AG29" i="1"/>
  <c r="AG30" i="1"/>
  <c r="AG31" i="1"/>
  <c r="AG32" i="1"/>
  <c r="AG33" i="1"/>
  <c r="AG34" i="1"/>
  <c r="AG35" i="1"/>
  <c r="J36" i="1"/>
  <c r="C53" i="1"/>
  <c r="I53" i="1"/>
  <c r="E54" i="1"/>
  <c r="E53" i="1"/>
  <c r="AM56" i="1"/>
  <c r="AM57" i="1"/>
  <c r="AM58" i="1"/>
  <c r="AM59" i="1"/>
  <c r="AM60" i="1"/>
  <c r="AM61" i="1"/>
  <c r="AM62" i="1"/>
  <c r="AM63" i="1"/>
  <c r="AM64" i="1"/>
  <c r="AM65" i="1"/>
  <c r="AM66" i="1"/>
  <c r="P37" i="1"/>
  <c r="AM25" i="1"/>
  <c r="AM26" i="1"/>
  <c r="AM27" i="1"/>
  <c r="AM28" i="1"/>
  <c r="AM29" i="1"/>
  <c r="AM30" i="1"/>
  <c r="AM31" i="1"/>
  <c r="AM32" i="1"/>
  <c r="AM33" i="1"/>
  <c r="AM34" i="1"/>
  <c r="AM35" i="1"/>
  <c r="P36" i="1"/>
  <c r="AJ56" i="1"/>
  <c r="AJ57" i="1"/>
  <c r="AJ58" i="1"/>
  <c r="AJ59" i="1"/>
  <c r="AJ60" i="1"/>
  <c r="AJ61" i="1"/>
  <c r="AJ62" i="1"/>
  <c r="AJ63" i="1"/>
  <c r="AJ64" i="1"/>
  <c r="AJ65" i="1"/>
  <c r="AJ66" i="1"/>
  <c r="M37" i="1"/>
  <c r="AI56" i="1"/>
  <c r="AI64" i="1"/>
  <c r="AI65" i="1"/>
  <c r="AI66" i="1"/>
  <c r="L37" i="1"/>
  <c r="AH66" i="1"/>
  <c r="K37" i="1"/>
  <c r="AF56" i="1"/>
  <c r="AF57" i="1"/>
  <c r="AF58" i="1"/>
  <c r="AF59" i="1"/>
  <c r="AF60" i="1"/>
  <c r="AF61" i="1"/>
  <c r="AF62" i="1"/>
  <c r="AF63" i="1"/>
  <c r="AF64" i="1"/>
  <c r="AF65" i="1"/>
  <c r="AF66" i="1"/>
  <c r="I37" i="1"/>
  <c r="AF25" i="1"/>
  <c r="AF26" i="1"/>
  <c r="AF27" i="1"/>
  <c r="AF28" i="1"/>
  <c r="AF29" i="1"/>
  <c r="AF30" i="1"/>
  <c r="AF31" i="1"/>
  <c r="AF32" i="1"/>
  <c r="AF33" i="1"/>
  <c r="AF34" i="1"/>
  <c r="AF35" i="1"/>
  <c r="I36" i="1"/>
  <c r="AE56" i="1"/>
  <c r="AE57" i="1"/>
  <c r="AE58" i="1"/>
  <c r="AE59" i="1"/>
  <c r="AE60" i="1"/>
  <c r="AE61" i="1"/>
  <c r="AE62" i="1"/>
  <c r="AE63" i="1"/>
  <c r="AE64" i="1"/>
  <c r="AE65" i="1"/>
  <c r="AE66" i="1"/>
  <c r="H37" i="1"/>
  <c r="AE25" i="1"/>
  <c r="AE26" i="1"/>
  <c r="AE27" i="1"/>
  <c r="AE28" i="1"/>
  <c r="AE29" i="1"/>
  <c r="AE30" i="1"/>
  <c r="AE31" i="1"/>
  <c r="AE32" i="1"/>
  <c r="AE33" i="1"/>
  <c r="AE34" i="1"/>
  <c r="AE35" i="1"/>
  <c r="H36" i="1"/>
  <c r="AC56" i="1"/>
  <c r="AC57" i="1"/>
  <c r="AC58" i="1"/>
  <c r="AC59" i="1"/>
  <c r="AC60" i="1"/>
  <c r="AC61" i="1"/>
  <c r="AC62" i="1"/>
  <c r="AC63" i="1"/>
  <c r="AC64" i="1"/>
  <c r="AC65" i="1"/>
  <c r="AC66" i="1"/>
  <c r="F37" i="1"/>
  <c r="AC25" i="1"/>
  <c r="AC26" i="1"/>
  <c r="AC27" i="1"/>
  <c r="AC28" i="1"/>
  <c r="AC29" i="1"/>
  <c r="AC30" i="1"/>
  <c r="AC31" i="1"/>
  <c r="AC32" i="1"/>
  <c r="AC33" i="1"/>
  <c r="AC34" i="1"/>
  <c r="AC35" i="1"/>
  <c r="F36" i="1"/>
  <c r="AB25" i="1"/>
  <c r="AN25" i="1"/>
  <c r="AN26" i="1"/>
  <c r="AB27" i="1"/>
  <c r="AN27" i="1"/>
  <c r="AN28" i="1"/>
  <c r="AB29" i="1"/>
  <c r="AN29" i="1"/>
  <c r="AB30" i="1"/>
  <c r="AN30" i="1"/>
  <c r="AN31" i="1"/>
  <c r="AN32" i="1"/>
  <c r="AN33" i="1"/>
  <c r="AN34" i="1"/>
  <c r="AN35" i="1"/>
  <c r="AB56" i="1"/>
  <c r="AN56" i="1"/>
  <c r="AB57" i="1"/>
  <c r="AN57" i="1"/>
  <c r="AB58" i="1"/>
  <c r="AN58" i="1"/>
  <c r="AB59" i="1"/>
  <c r="AN59" i="1"/>
  <c r="AB60" i="1"/>
  <c r="AN60" i="1"/>
  <c r="AB61" i="1"/>
  <c r="AN61" i="1"/>
  <c r="AB62" i="1"/>
  <c r="AN62" i="1"/>
  <c r="AB63" i="1"/>
  <c r="AN63" i="1"/>
  <c r="AB64" i="1"/>
  <c r="AN64" i="1"/>
  <c r="AB65" i="1"/>
  <c r="AN65" i="1"/>
  <c r="AN66" i="1"/>
  <c r="AN38" i="1"/>
  <c r="D35" i="1"/>
  <c r="E38" i="1"/>
  <c r="E37" i="1"/>
  <c r="E36" i="1"/>
  <c r="E14" i="1"/>
  <c r="E19" i="1"/>
  <c r="G14" i="1"/>
  <c r="I14" i="1"/>
  <c r="B88" i="1"/>
  <c r="C88" i="1"/>
  <c r="D88" i="1"/>
  <c r="E88" i="1"/>
  <c r="F88" i="1"/>
  <c r="G38" i="1"/>
  <c r="Z25" i="1"/>
  <c r="AH39" i="1"/>
  <c r="V25" i="1"/>
  <c r="H88" i="1"/>
  <c r="B89" i="1"/>
  <c r="C89" i="1"/>
  <c r="D89" i="1"/>
  <c r="E89" i="1"/>
  <c r="F89" i="1"/>
  <c r="H89" i="1"/>
  <c r="B90" i="1"/>
  <c r="C90" i="1"/>
  <c r="D90" i="1"/>
  <c r="E90" i="1"/>
  <c r="F90" i="1"/>
  <c r="H90" i="1"/>
  <c r="B91" i="1"/>
  <c r="C91" i="1"/>
  <c r="D91" i="1"/>
  <c r="E91" i="1"/>
  <c r="F91" i="1"/>
  <c r="H91" i="1"/>
  <c r="B92" i="1"/>
  <c r="C92" i="1"/>
  <c r="D92" i="1"/>
  <c r="E92" i="1"/>
  <c r="F92" i="1"/>
  <c r="H92" i="1"/>
  <c r="B93" i="1"/>
  <c r="C93" i="1"/>
  <c r="D93" i="1"/>
  <c r="E93" i="1"/>
  <c r="F93" i="1"/>
  <c r="H93" i="1"/>
  <c r="C94" i="1"/>
  <c r="D94" i="1"/>
  <c r="F94" i="1"/>
  <c r="H94" i="1"/>
  <c r="B95" i="1"/>
  <c r="C95" i="1"/>
  <c r="D95" i="1"/>
  <c r="F95" i="1"/>
  <c r="H95" i="1"/>
  <c r="B96" i="1"/>
  <c r="C96" i="1"/>
  <c r="D96" i="1"/>
  <c r="E96" i="1"/>
  <c r="F96" i="1"/>
  <c r="H96" i="1"/>
  <c r="H63" i="1"/>
  <c r="H44" i="1"/>
  <c r="E45" i="1"/>
  <c r="F45" i="1"/>
  <c r="H64" i="1"/>
  <c r="H45" i="1"/>
  <c r="E47" i="1"/>
  <c r="F47" i="1"/>
  <c r="H66" i="1"/>
  <c r="H47" i="1"/>
  <c r="E48" i="1"/>
  <c r="F48" i="1"/>
  <c r="H70" i="1"/>
  <c r="H51" i="1"/>
  <c r="H58" i="1"/>
  <c r="E43" i="1"/>
  <c r="F43" i="1"/>
  <c r="H62" i="1"/>
  <c r="H43" i="1"/>
  <c r="H97" i="1"/>
  <c r="E97" i="1"/>
  <c r="F97" i="1"/>
  <c r="D97" i="1"/>
  <c r="C97" i="1"/>
  <c r="B97" i="1"/>
  <c r="K38" i="1"/>
  <c r="D58" i="1"/>
  <c r="G58" i="1"/>
  <c r="J71" i="1"/>
  <c r="K71" i="1"/>
  <c r="C58" i="1"/>
  <c r="I71" i="1"/>
  <c r="H71" i="1"/>
  <c r="F71" i="1"/>
  <c r="D57" i="1"/>
  <c r="G57" i="1"/>
  <c r="J70" i="1"/>
  <c r="K70" i="1"/>
  <c r="C57" i="1"/>
  <c r="I70" i="1"/>
  <c r="F70" i="1"/>
  <c r="D49" i="1"/>
  <c r="C49" i="1"/>
  <c r="E49" i="1"/>
  <c r="F68" i="1"/>
  <c r="D48" i="1"/>
  <c r="J67" i="1"/>
  <c r="K67" i="1"/>
  <c r="C48" i="1"/>
  <c r="F67" i="1"/>
  <c r="D47" i="1"/>
  <c r="G47" i="1"/>
  <c r="J66" i="1"/>
  <c r="K66" i="1"/>
  <c r="C47" i="1"/>
  <c r="I66" i="1"/>
  <c r="F66" i="1"/>
  <c r="J65" i="1"/>
  <c r="K65" i="1"/>
  <c r="D45" i="1"/>
  <c r="G45" i="1"/>
  <c r="J64" i="1"/>
  <c r="K64" i="1"/>
  <c r="C45" i="1"/>
  <c r="I64" i="1"/>
  <c r="F64" i="1"/>
  <c r="D44" i="1"/>
  <c r="G44" i="1"/>
  <c r="J63" i="1"/>
  <c r="K63" i="1"/>
  <c r="C44" i="1"/>
  <c r="I63" i="1"/>
  <c r="E44" i="1"/>
  <c r="F63" i="1"/>
  <c r="D43" i="1"/>
  <c r="G43" i="1"/>
  <c r="J62" i="1"/>
  <c r="K62" i="1"/>
  <c r="C43" i="1"/>
  <c r="I62" i="1"/>
  <c r="F62" i="1"/>
  <c r="AB66" i="1"/>
  <c r="Z65" i="1"/>
  <c r="Y65" i="1"/>
  <c r="Z64" i="1"/>
  <c r="Y64" i="1"/>
  <c r="E55" i="1"/>
  <c r="F55" i="1"/>
  <c r="B55" i="1"/>
  <c r="Z63" i="1"/>
  <c r="Y63" i="1"/>
  <c r="F54" i="1"/>
  <c r="B54" i="1"/>
  <c r="Z62" i="1"/>
  <c r="Y62" i="1"/>
  <c r="F53" i="1"/>
  <c r="Z61" i="1"/>
  <c r="Y61" i="1"/>
  <c r="Z60" i="1"/>
  <c r="Y60" i="1"/>
  <c r="K58" i="1"/>
  <c r="J58" i="1"/>
  <c r="I58" i="1"/>
  <c r="F58" i="1"/>
  <c r="Z59" i="1"/>
  <c r="Y59" i="1"/>
  <c r="K57" i="1"/>
  <c r="J57" i="1"/>
  <c r="I57" i="1"/>
  <c r="F57" i="1"/>
  <c r="Z58" i="1"/>
  <c r="Y58" i="1"/>
  <c r="B50" i="1"/>
  <c r="Z57" i="1"/>
  <c r="Y57" i="1"/>
  <c r="J49" i="1"/>
  <c r="F49" i="1"/>
  <c r="B49" i="1"/>
  <c r="Z56" i="1"/>
  <c r="Y56" i="1"/>
  <c r="K48" i="1"/>
  <c r="J48" i="1"/>
  <c r="B48" i="1"/>
  <c r="K47" i="1"/>
  <c r="J47" i="1"/>
  <c r="I47" i="1"/>
  <c r="B47" i="1"/>
  <c r="K46" i="1"/>
  <c r="J46" i="1"/>
  <c r="F46" i="1"/>
  <c r="B46" i="1"/>
  <c r="K45" i="1"/>
  <c r="J45" i="1"/>
  <c r="I45" i="1"/>
  <c r="B45" i="1"/>
  <c r="K44" i="1"/>
  <c r="J44" i="1"/>
  <c r="I44" i="1"/>
  <c r="F44" i="1"/>
  <c r="B44" i="1"/>
  <c r="K43" i="1"/>
  <c r="J43" i="1"/>
  <c r="I43" i="1"/>
  <c r="B43" i="1"/>
  <c r="Z26" i="1"/>
  <c r="AH40" i="1"/>
  <c r="Z27" i="1"/>
  <c r="AH41" i="1"/>
  <c r="Z28" i="1"/>
  <c r="AH42" i="1"/>
  <c r="Z29" i="1"/>
  <c r="AH43" i="1"/>
  <c r="Z30" i="1"/>
  <c r="AH44" i="1"/>
  <c r="Z31" i="1"/>
  <c r="AH45" i="1"/>
  <c r="Z32" i="1"/>
  <c r="AH46" i="1"/>
  <c r="Z33" i="1"/>
  <c r="AH47" i="1"/>
  <c r="Z34" i="1"/>
  <c r="AH48" i="1"/>
  <c r="AH49" i="1"/>
  <c r="AC48" i="1"/>
  <c r="AC47" i="1"/>
  <c r="AC46" i="1"/>
  <c r="AC45" i="1"/>
  <c r="O38" i="1"/>
  <c r="P38" i="1"/>
  <c r="AC42" i="1"/>
  <c r="AC40" i="1"/>
  <c r="M38" i="1"/>
  <c r="L38" i="1"/>
  <c r="I38" i="1"/>
  <c r="H38" i="1"/>
  <c r="F38" i="1"/>
  <c r="AB34" i="1"/>
  <c r="Y34" i="1"/>
  <c r="AB33" i="1"/>
  <c r="Y33" i="1"/>
  <c r="AB32" i="1"/>
  <c r="Y32" i="1"/>
  <c r="AB31" i="1"/>
  <c r="Y31" i="1"/>
  <c r="Y30" i="1"/>
  <c r="Y29" i="1"/>
  <c r="AB28" i="1"/>
  <c r="Y28" i="1"/>
  <c r="Y27" i="1"/>
  <c r="AB26" i="1"/>
  <c r="Y26" i="1"/>
  <c r="Y25" i="1"/>
</calcChain>
</file>

<file path=xl/sharedStrings.xml><?xml version="1.0" encoding="utf-8"?>
<sst xmlns="http://schemas.openxmlformats.org/spreadsheetml/2006/main" count="191" uniqueCount="119">
  <si>
    <t>Concentrado</t>
  </si>
  <si>
    <t>Volumoso</t>
  </si>
  <si>
    <t>Animal</t>
  </si>
  <si>
    <t>Peso corporal médio, kg</t>
  </si>
  <si>
    <t>Consumo de MS, kg</t>
  </si>
  <si>
    <t>Consumo, g MS/kg peso corporal</t>
  </si>
  <si>
    <t>Se for volumoso</t>
  </si>
  <si>
    <t>Alimentos</t>
  </si>
  <si>
    <t>Classificação</t>
  </si>
  <si>
    <t>Proporção na dieta, %</t>
  </si>
  <si>
    <t>MS, %</t>
  </si>
  <si>
    <t>MO, % MS</t>
  </si>
  <si>
    <t>PB, % MS</t>
  </si>
  <si>
    <t>Ureia, % MS</t>
  </si>
  <si>
    <t>PBureia, % MS</t>
  </si>
  <si>
    <t>EE, % MS</t>
  </si>
  <si>
    <t>FDNcp, % MS</t>
  </si>
  <si>
    <t>FDA, % MS</t>
  </si>
  <si>
    <t>Lignina, % MS</t>
  </si>
  <si>
    <t>CNF, % MS</t>
  </si>
  <si>
    <t>PIDN, % MS</t>
  </si>
  <si>
    <t>PIDA, % MS</t>
  </si>
  <si>
    <t>D</t>
  </si>
  <si>
    <t>Dvpbcc</t>
  </si>
  <si>
    <t>Dvpbpc</t>
  </si>
  <si>
    <t>MS</t>
  </si>
  <si>
    <t>MO</t>
  </si>
  <si>
    <t>PB</t>
  </si>
  <si>
    <t>Ureia</t>
  </si>
  <si>
    <t>PBureia</t>
  </si>
  <si>
    <t>EE</t>
  </si>
  <si>
    <t>FDNcp</t>
  </si>
  <si>
    <t>FDA</t>
  </si>
  <si>
    <t>Lig</t>
  </si>
  <si>
    <t>CNF</t>
  </si>
  <si>
    <t>PIDN</t>
  </si>
  <si>
    <t>PIDA</t>
  </si>
  <si>
    <t>Proporcao na MN</t>
  </si>
  <si>
    <t>Soma:</t>
  </si>
  <si>
    <t>TOTAL VOLUMOSO</t>
  </si>
  <si>
    <t>Volumoso:</t>
  </si>
  <si>
    <t>Concentrado:</t>
  </si>
  <si>
    <t>Dieta:</t>
  </si>
  <si>
    <t>FDNpd, %</t>
  </si>
  <si>
    <t>FDNi, %</t>
  </si>
  <si>
    <t>kp</t>
  </si>
  <si>
    <t>Dct, %</t>
  </si>
  <si>
    <t>dieta:</t>
  </si>
  <si>
    <t>ABREVIATURAS</t>
  </si>
  <si>
    <t>EEvd, %</t>
  </si>
  <si>
    <t>CNFvd, %</t>
  </si>
  <si>
    <t>FDNd, %</t>
  </si>
  <si>
    <t>PBvd, %</t>
  </si>
  <si>
    <t>NDT, %</t>
  </si>
  <si>
    <t>ED, Mcal/kg MS</t>
  </si>
  <si>
    <t>EM, Mcal/kg MS</t>
  </si>
  <si>
    <t>media ponderada</t>
  </si>
  <si>
    <t>Alimento</t>
  </si>
  <si>
    <t>Se for concentrado</t>
  </si>
  <si>
    <t>TOTAL CONCENTRADO</t>
  </si>
  <si>
    <t>somas ee fdn cnf</t>
  </si>
  <si>
    <t>kd</t>
  </si>
  <si>
    <t>total</t>
  </si>
  <si>
    <t>Raça</t>
  </si>
  <si>
    <t>Zebuíno</t>
  </si>
  <si>
    <t>Corte</t>
  </si>
  <si>
    <t>Peso corporal inicial, kg</t>
  </si>
  <si>
    <t>Peso corporal final, kg</t>
  </si>
  <si>
    <t>Ganho médio diário, kg/dia</t>
  </si>
  <si>
    <t>brcorte 2010</t>
  </si>
  <si>
    <t>brcorte2016</t>
  </si>
  <si>
    <t>zebu</t>
  </si>
  <si>
    <t>cruz corte</t>
  </si>
  <si>
    <t>cruz leite</t>
  </si>
  <si>
    <t>CMS</t>
  </si>
  <si>
    <t>Leite</t>
  </si>
  <si>
    <t>Cruzado</t>
  </si>
  <si>
    <t>AUTORES E CITAÇÃO</t>
  </si>
  <si>
    <t>Autores:</t>
  </si>
  <si>
    <t>Pedro Del Bianco Benedeti</t>
  </si>
  <si>
    <t>Citação:</t>
  </si>
  <si>
    <t>Apoio:</t>
  </si>
  <si>
    <t>INCT - Ciência Animal</t>
  </si>
  <si>
    <t>CNPq</t>
  </si>
  <si>
    <t>CAPES</t>
  </si>
  <si>
    <t>FAPEMIG</t>
  </si>
  <si>
    <t>Tadeu Eder da Silva</t>
  </si>
  <si>
    <t>Edenio Detmann</t>
  </si>
  <si>
    <t>Sistema de exigências</t>
  </si>
  <si>
    <t>BR-CORTE 2016</t>
  </si>
  <si>
    <t>BR-CORTE 2010</t>
  </si>
  <si>
    <t>BENEDETI, P.D.B., SILVA T.E., DETMANN, E. Tabela para predição do valor energético de dietas para bovinos a partir da composição química dos alimentos (BR-CORTE 2016). 2016. Disponível em www.brcorte.com.br. Acesso em…</t>
  </si>
  <si>
    <t>Tabela para predição do valor energético de dietas para bovinos a partir da composição química dos alimentos (BR-CORTE 2016)</t>
  </si>
  <si>
    <t>ENTRADA DE DADOS</t>
  </si>
  <si>
    <t>ABORDAGEM EMPÍRICA</t>
  </si>
  <si>
    <t>Ureia/SA</t>
  </si>
  <si>
    <t>Mistura mineral</t>
  </si>
  <si>
    <t>-</t>
  </si>
  <si>
    <r>
      <rPr>
        <b/>
        <sz val="12"/>
        <rFont val="Times New Roman"/>
        <family val="1"/>
      </rPr>
      <t>PB</t>
    </r>
    <r>
      <rPr>
        <sz val="12"/>
        <rFont val="Times New Roman"/>
        <family val="1"/>
      </rPr>
      <t xml:space="preserve"> - Proteína bruta</t>
    </r>
  </si>
  <si>
    <r>
      <rPr>
        <b/>
        <sz val="12"/>
        <rFont val="Times New Roman"/>
        <family val="1"/>
      </rPr>
      <t>PBvd</t>
    </r>
    <r>
      <rPr>
        <sz val="12"/>
        <rFont val="Times New Roman"/>
        <family val="1"/>
      </rPr>
      <t xml:space="preserve"> - Fração verdadeiramente digestível da PB</t>
    </r>
  </si>
  <si>
    <r>
      <rPr>
        <b/>
        <sz val="12"/>
        <rFont val="Times New Roman"/>
        <family val="1"/>
      </rPr>
      <t>PIDA</t>
    </r>
    <r>
      <rPr>
        <sz val="12"/>
        <rFont val="Times New Roman"/>
        <family val="1"/>
      </rPr>
      <t xml:space="preserve"> - Proteína insolúvel em detergente ácido</t>
    </r>
  </si>
  <si>
    <r>
      <rPr>
        <b/>
        <sz val="12"/>
        <rFont val="Times New Roman"/>
        <family val="1"/>
      </rPr>
      <t>PIDN</t>
    </r>
    <r>
      <rPr>
        <sz val="12"/>
        <rFont val="Times New Roman"/>
        <family val="1"/>
      </rPr>
      <t xml:space="preserve"> - Proteína insolúvel em detergente neutro</t>
    </r>
  </si>
  <si>
    <r>
      <rPr>
        <b/>
        <sz val="12"/>
        <rFont val="Times New Roman"/>
        <family val="1"/>
      </rPr>
      <t>CNF</t>
    </r>
    <r>
      <rPr>
        <sz val="12"/>
        <rFont val="Times New Roman"/>
        <family val="1"/>
      </rPr>
      <t xml:space="preserve"> - Carboidratos não fibrosos</t>
    </r>
  </si>
  <si>
    <r>
      <rPr>
        <b/>
        <sz val="12"/>
        <rFont val="Times New Roman"/>
        <family val="1"/>
      </rPr>
      <t>CNFvd</t>
    </r>
    <r>
      <rPr>
        <sz val="12"/>
        <rFont val="Times New Roman"/>
        <family val="1"/>
      </rPr>
      <t xml:space="preserve"> - Fração verdadeiramente digestível dos CNF</t>
    </r>
  </si>
  <si>
    <r>
      <rPr>
        <b/>
        <sz val="12"/>
        <rFont val="Times New Roman"/>
        <family val="1"/>
      </rPr>
      <t xml:space="preserve">ED </t>
    </r>
    <r>
      <rPr>
        <sz val="12"/>
        <rFont val="Times New Roman"/>
        <family val="1"/>
      </rPr>
      <t>- Energia digestível</t>
    </r>
  </si>
  <si>
    <r>
      <rPr>
        <b/>
        <sz val="12"/>
        <rFont val="Times New Roman"/>
        <family val="1"/>
      </rPr>
      <t>EE</t>
    </r>
    <r>
      <rPr>
        <sz val="12"/>
        <rFont val="Times New Roman"/>
        <family val="1"/>
      </rPr>
      <t xml:space="preserve"> - Extrato etério</t>
    </r>
  </si>
  <si>
    <r>
      <rPr>
        <b/>
        <sz val="12"/>
        <rFont val="Times New Roman"/>
        <family val="1"/>
      </rPr>
      <t>EEvd</t>
    </r>
    <r>
      <rPr>
        <sz val="12"/>
        <rFont val="Times New Roman"/>
        <family val="1"/>
      </rPr>
      <t xml:space="preserve"> - Fração verdadeiramente digestível do EE</t>
    </r>
  </si>
  <si>
    <r>
      <rPr>
        <b/>
        <sz val="12"/>
        <rFont val="Times New Roman"/>
        <family val="1"/>
      </rPr>
      <t>EM</t>
    </r>
    <r>
      <rPr>
        <sz val="12"/>
        <rFont val="Times New Roman"/>
        <family val="1"/>
      </rPr>
      <t xml:space="preserve"> - Energia metabolizável</t>
    </r>
  </si>
  <si>
    <r>
      <rPr>
        <b/>
        <sz val="12"/>
        <rFont val="Times New Roman"/>
        <family val="1"/>
      </rPr>
      <t>FDA</t>
    </r>
    <r>
      <rPr>
        <sz val="12"/>
        <rFont val="Times New Roman"/>
        <family val="1"/>
      </rPr>
      <t xml:space="preserve"> - Fibra insolúvel em detergente ácido </t>
    </r>
  </si>
  <si>
    <r>
      <rPr>
        <b/>
        <sz val="12"/>
        <rFont val="Times New Roman"/>
        <family val="1"/>
      </rPr>
      <t>FDNcp</t>
    </r>
    <r>
      <rPr>
        <sz val="12"/>
        <rFont val="Times New Roman"/>
        <family val="1"/>
      </rPr>
      <t xml:space="preserve"> - Fibra insolúvel em detergente neutro corrigida para cinzas e proteínas</t>
    </r>
  </si>
  <si>
    <r>
      <rPr>
        <b/>
        <sz val="12"/>
        <rFont val="Times New Roman"/>
        <family val="1"/>
      </rPr>
      <t>FDNd</t>
    </r>
    <r>
      <rPr>
        <sz val="12"/>
        <rFont val="Times New Roman"/>
        <family val="1"/>
      </rPr>
      <t xml:space="preserve"> - Fração digestível da FDNcp</t>
    </r>
  </si>
  <si>
    <r>
      <rPr>
        <b/>
        <sz val="12"/>
        <rFont val="Times New Roman"/>
        <family val="1"/>
      </rPr>
      <t>FDNi</t>
    </r>
    <r>
      <rPr>
        <sz val="12"/>
        <rFont val="Times New Roman"/>
        <family val="1"/>
      </rPr>
      <t xml:space="preserve"> - Fibra em detergente neutro indigestível</t>
    </r>
  </si>
  <si>
    <r>
      <rPr>
        <b/>
        <sz val="12"/>
        <rFont val="Times New Roman"/>
        <family val="1"/>
      </rPr>
      <t>FDNpd</t>
    </r>
    <r>
      <rPr>
        <sz val="12"/>
        <rFont val="Times New Roman"/>
        <family val="1"/>
      </rPr>
      <t xml:space="preserve"> - Fibra em detergente neutro potencialmente digestível</t>
    </r>
  </si>
  <si>
    <r>
      <rPr>
        <b/>
        <sz val="12"/>
        <rFont val="Times New Roman"/>
        <family val="1"/>
      </rPr>
      <t>MO</t>
    </r>
    <r>
      <rPr>
        <sz val="12"/>
        <rFont val="Times New Roman"/>
        <family val="1"/>
      </rPr>
      <t xml:space="preserve"> - Matéria orgânica</t>
    </r>
  </si>
  <si>
    <r>
      <rPr>
        <b/>
        <sz val="12"/>
        <rFont val="Times New Roman"/>
        <family val="1"/>
      </rPr>
      <t>MS</t>
    </r>
    <r>
      <rPr>
        <sz val="12"/>
        <rFont val="Times New Roman"/>
        <family val="1"/>
      </rPr>
      <t xml:space="preserve"> - Matéria seca</t>
    </r>
  </si>
  <si>
    <r>
      <rPr>
        <b/>
        <sz val="12"/>
        <rFont val="Times New Roman"/>
        <family val="1"/>
      </rPr>
      <t>NDT</t>
    </r>
    <r>
      <rPr>
        <sz val="12"/>
        <rFont val="Times New Roman"/>
        <family val="1"/>
      </rPr>
      <t xml:space="preserve"> - Nutrientes digestíveis totais</t>
    </r>
  </si>
  <si>
    <t>Silagem de milho</t>
  </si>
  <si>
    <t>Milho</t>
  </si>
  <si>
    <t>F. Soja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</si>
</sst>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0.0000"/>
    <numFmt numFmtId="166" formatCode="0.0"/>
  </numFmts>
  <fonts count="34">
    <font>
      <sz val="12"/>
      <color theme="1"/>
      <name val="TimesNewRomanPSMT"/>
      <family val="2"/>
    </font>
    <font>
      <sz val="12"/>
      <color theme="1"/>
      <name val="TimesNewRomanPSMT"/>
      <family val="2"/>
    </font>
    <font>
      <sz val="12"/>
      <color rgb="FFFF0000"/>
      <name val="TimesNewRomanPSMT"/>
      <family val="2"/>
    </font>
    <font>
      <sz val="12"/>
      <color theme="0"/>
      <name val="Times New Roman"/>
    </font>
    <font>
      <sz val="12"/>
      <color theme="1"/>
      <name val="Times New Roman"/>
    </font>
    <font>
      <b/>
      <sz val="12"/>
      <color theme="1"/>
      <name val="Times New Roman"/>
    </font>
    <font>
      <b/>
      <sz val="20"/>
      <color theme="1"/>
      <name val="Times New Roman"/>
    </font>
    <font>
      <b/>
      <sz val="26"/>
      <color theme="1"/>
      <name val="Times New Roman"/>
    </font>
    <font>
      <sz val="10"/>
      <name val="Arial"/>
      <family val="2"/>
    </font>
    <font>
      <b/>
      <sz val="18"/>
      <color theme="1"/>
      <name val="Times New Roman"/>
    </font>
    <font>
      <b/>
      <sz val="14"/>
      <color theme="1"/>
      <name val="Times New Roman"/>
    </font>
    <font>
      <sz val="12"/>
      <name val="Times New Roman"/>
    </font>
    <font>
      <sz val="12"/>
      <color rgb="FF000000"/>
      <name val="Times New Roman"/>
    </font>
    <font>
      <b/>
      <sz val="28"/>
      <color theme="1"/>
      <name val="Times New Roman"/>
    </font>
    <font>
      <sz val="12"/>
      <color rgb="FFFF0000"/>
      <name val="Times New Roman"/>
      <family val="1"/>
    </font>
    <font>
      <sz val="12"/>
      <color theme="0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20"/>
      <color theme="0"/>
      <name val="Times New Roman"/>
      <family val="1"/>
    </font>
    <font>
      <b/>
      <sz val="20"/>
      <color theme="0"/>
      <name val="Times New Roman"/>
      <family val="1"/>
    </font>
    <font>
      <b/>
      <sz val="12"/>
      <color theme="0"/>
      <name val="Times New Roman"/>
      <family val="1"/>
    </font>
    <font>
      <sz val="12"/>
      <name val="TimesNewRomanPSMT"/>
      <family val="2"/>
    </font>
    <font>
      <b/>
      <sz val="12"/>
      <name val="Times New Roman"/>
      <family val="1"/>
    </font>
    <font>
      <b/>
      <sz val="16"/>
      <name val="Times New Roman"/>
      <family val="1"/>
    </font>
    <font>
      <b/>
      <sz val="18"/>
      <name val="Times New Roman"/>
      <family val="1"/>
    </font>
    <font>
      <sz val="16"/>
      <name val="Times New Roman"/>
      <family val="1"/>
    </font>
    <font>
      <b/>
      <sz val="26"/>
      <name val="Times New Roman"/>
      <family val="1"/>
    </font>
    <font>
      <b/>
      <sz val="14"/>
      <name val="Times New Roman"/>
      <family val="1"/>
    </font>
    <font>
      <b/>
      <sz val="18"/>
      <color theme="0"/>
      <name val="Times New Roman"/>
      <family val="1"/>
    </font>
    <font>
      <b/>
      <sz val="28"/>
      <color theme="0"/>
      <name val="Times New Roman"/>
      <family val="1"/>
    </font>
    <font>
      <b/>
      <sz val="12"/>
      <color rgb="FFFF0000"/>
      <name val="Times New Roman"/>
      <family val="1"/>
    </font>
    <font>
      <b/>
      <sz val="26"/>
      <color rgb="FFFF0000"/>
      <name val="Times New Roman"/>
      <family val="1"/>
    </font>
    <font>
      <b/>
      <sz val="14"/>
      <color rgb="FFFF0000"/>
      <name val="Times New Roman"/>
      <family val="1"/>
    </font>
    <font>
      <b/>
      <sz val="28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rgb="FFFFFF99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</cellStyleXfs>
  <cellXfs count="171">
    <xf numFmtId="0" fontId="0" fillId="0" borderId="0" xfId="0"/>
    <xf numFmtId="2" fontId="4" fillId="3" borderId="2" xfId="3" applyNumberFormat="1" applyFont="1" applyFill="1" applyBorder="1" applyAlignment="1" applyProtection="1">
      <alignment horizontal="center" vertical="center"/>
      <protection locked="0"/>
    </xf>
    <xf numFmtId="0" fontId="12" fillId="4" borderId="16" xfId="0" applyFont="1" applyFill="1" applyBorder="1" applyAlignment="1" applyProtection="1">
      <alignment vertical="center"/>
      <protection hidden="1"/>
    </xf>
    <xf numFmtId="0" fontId="4" fillId="4" borderId="16" xfId="0" applyFont="1" applyFill="1" applyBorder="1" applyAlignment="1" applyProtection="1">
      <alignment horizontal="left" vertical="center"/>
      <protection hidden="1"/>
    </xf>
    <xf numFmtId="2" fontId="4" fillId="3" borderId="15" xfId="3" applyNumberFormat="1" applyFont="1" applyFill="1" applyBorder="1" applyAlignment="1" applyProtection="1">
      <alignment horizontal="center" vertical="center"/>
      <protection locked="0"/>
    </xf>
    <xf numFmtId="2" fontId="11" fillId="8" borderId="17" xfId="0" applyNumberFormat="1" applyFont="1" applyFill="1" applyBorder="1" applyAlignment="1" applyProtection="1">
      <alignment horizontal="center" vertical="center"/>
      <protection locked="0"/>
    </xf>
    <xf numFmtId="1" fontId="11" fillId="8" borderId="17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 wrapText="1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left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4" fillId="2" borderId="14" xfId="0" applyFont="1" applyFill="1" applyBorder="1" applyAlignment="1" applyProtection="1">
      <alignment vertical="center" wrapText="1"/>
      <protection hidden="1"/>
    </xf>
    <xf numFmtId="0" fontId="5" fillId="2" borderId="17" xfId="0" applyFont="1" applyFill="1" applyBorder="1" applyAlignment="1" applyProtection="1">
      <alignment horizontal="center" vertical="center"/>
      <protection hidden="1"/>
    </xf>
    <xf numFmtId="0" fontId="4" fillId="2" borderId="16" xfId="0" applyFont="1" applyFill="1" applyBorder="1" applyAlignment="1" applyProtection="1">
      <alignment horizontal="left" vertical="center"/>
      <protection hidden="1"/>
    </xf>
    <xf numFmtId="2" fontId="5" fillId="2" borderId="17" xfId="0" applyNumberFormat="1" applyFont="1" applyFill="1" applyBorder="1" applyAlignment="1" applyProtection="1">
      <alignment horizontal="center" vertical="center"/>
      <protection hidden="1"/>
    </xf>
    <xf numFmtId="0" fontId="4" fillId="2" borderId="18" xfId="0" applyFont="1" applyFill="1" applyBorder="1" applyAlignment="1" applyProtection="1">
      <alignment horizontal="left" vertical="center"/>
      <protection hidden="1"/>
    </xf>
    <xf numFmtId="2" fontId="4" fillId="2" borderId="19" xfId="3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2" fontId="4" fillId="2" borderId="0" xfId="3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left" vertical="center"/>
      <protection hidden="1"/>
    </xf>
    <xf numFmtId="1" fontId="4" fillId="2" borderId="0" xfId="3" applyNumberFormat="1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right" vertical="center"/>
      <protection hidden="1"/>
    </xf>
    <xf numFmtId="0" fontId="5" fillId="5" borderId="3" xfId="0" applyFont="1" applyFill="1" applyBorder="1" applyAlignment="1" applyProtection="1">
      <alignment horizontal="right" vertical="center"/>
      <protection hidden="1"/>
    </xf>
    <xf numFmtId="2" fontId="4" fillId="2" borderId="0" xfId="0" applyNumberFormat="1" applyFont="1" applyFill="1" applyAlignment="1" applyProtection="1">
      <alignment horizontal="center" vertical="center"/>
      <protection hidden="1"/>
    </xf>
    <xf numFmtId="0" fontId="5" fillId="5" borderId="2" xfId="0" applyFont="1" applyFill="1" applyBorder="1" applyAlignment="1" applyProtection="1">
      <alignment horizontal="right" vertical="center"/>
      <protection hidden="1"/>
    </xf>
    <xf numFmtId="2" fontId="4" fillId="5" borderId="2" xfId="0" applyNumberFormat="1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left" vertical="center"/>
      <protection hidden="1"/>
    </xf>
    <xf numFmtId="0" fontId="4" fillId="2" borderId="12" xfId="0" applyFont="1" applyFill="1" applyBorder="1" applyAlignment="1" applyProtection="1">
      <alignment horizontal="left" vertical="center"/>
      <protection hidden="1"/>
    </xf>
    <xf numFmtId="0" fontId="4" fillId="2" borderId="7" xfId="0" applyFont="1" applyFill="1" applyBorder="1" applyAlignment="1" applyProtection="1">
      <alignment horizontal="center" vertical="center"/>
      <protection hidden="1"/>
    </xf>
    <xf numFmtId="1" fontId="4" fillId="7" borderId="2" xfId="0" applyNumberFormat="1" applyFont="1" applyFill="1" applyBorder="1" applyAlignment="1" applyProtection="1">
      <alignment horizontal="left" vertical="center"/>
      <protection hidden="1"/>
    </xf>
    <xf numFmtId="2" fontId="4" fillId="7" borderId="2" xfId="0" applyNumberFormat="1" applyFont="1" applyFill="1" applyBorder="1" applyAlignment="1" applyProtection="1">
      <alignment horizontal="center" vertical="center"/>
      <protection hidden="1"/>
    </xf>
    <xf numFmtId="0" fontId="4" fillId="2" borderId="9" xfId="0" applyFont="1" applyFill="1" applyBorder="1" applyAlignment="1" applyProtection="1">
      <alignment horizontal="center" vertical="center"/>
      <protection hidden="1"/>
    </xf>
    <xf numFmtId="1" fontId="4" fillId="2" borderId="2" xfId="0" applyNumberFormat="1" applyFont="1" applyFill="1" applyBorder="1" applyAlignment="1" applyProtection="1">
      <alignment horizontal="left" vertical="center"/>
      <protection hidden="1"/>
    </xf>
    <xf numFmtId="2" fontId="4" fillId="2" borderId="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right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1" fontId="4" fillId="2" borderId="20" xfId="0" applyNumberFormat="1" applyFont="1" applyFill="1" applyBorder="1" applyAlignment="1" applyProtection="1">
      <alignment horizontal="left" vertical="center"/>
      <protection hidden="1"/>
    </xf>
    <xf numFmtId="2" fontId="4" fillId="2" borderId="20" xfId="0" applyNumberFormat="1" applyFont="1" applyFill="1" applyBorder="1" applyAlignment="1" applyProtection="1">
      <alignment horizontal="center" vertical="center"/>
      <protection hidden="1"/>
    </xf>
    <xf numFmtId="0" fontId="5" fillId="5" borderId="3" xfId="0" applyFont="1" applyFill="1" applyBorder="1" applyAlignment="1" applyProtection="1">
      <alignment horizontal="left" vertical="center"/>
      <protection hidden="1"/>
    </xf>
    <xf numFmtId="2" fontId="4" fillId="5" borderId="3" xfId="0" applyNumberFormat="1" applyFont="1" applyFill="1" applyBorder="1" applyAlignment="1" applyProtection="1">
      <alignment horizontal="center" vertical="center"/>
      <protection hidden="1"/>
    </xf>
    <xf numFmtId="1" fontId="5" fillId="5" borderId="2" xfId="0" applyNumberFormat="1" applyFont="1" applyFill="1" applyBorder="1" applyAlignment="1" applyProtection="1">
      <alignment horizontal="left" vertical="center"/>
      <protection hidden="1"/>
    </xf>
    <xf numFmtId="1" fontId="10" fillId="5" borderId="2" xfId="0" applyNumberFormat="1" applyFont="1" applyFill="1" applyBorder="1" applyAlignment="1" applyProtection="1">
      <alignment horizontal="left" vertical="center"/>
      <protection hidden="1"/>
    </xf>
    <xf numFmtId="2" fontId="10" fillId="5" borderId="2" xfId="0" applyNumberFormat="1" applyFont="1" applyFill="1" applyBorder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vertical="center" wrapText="1"/>
      <protection hidden="1"/>
    </xf>
    <xf numFmtId="1" fontId="4" fillId="2" borderId="2" xfId="3" applyNumberFormat="1" applyFont="1" applyFill="1" applyBorder="1" applyAlignment="1" applyProtection="1">
      <alignment horizontal="left" vertical="center"/>
      <protection hidden="1"/>
    </xf>
    <xf numFmtId="0" fontId="11" fillId="4" borderId="16" xfId="0" applyFont="1" applyFill="1" applyBorder="1" applyAlignment="1" applyProtection="1">
      <alignment horizontal="left" vertical="center"/>
      <protection hidden="1"/>
    </xf>
    <xf numFmtId="0" fontId="11" fillId="4" borderId="16" xfId="0" applyFont="1" applyFill="1" applyBorder="1" applyAlignment="1" applyProtection="1">
      <alignment horizontal="left" vertical="center"/>
      <protection hidden="1"/>
    </xf>
    <xf numFmtId="0" fontId="11" fillId="2" borderId="16" xfId="0" applyFont="1" applyFill="1" applyBorder="1" applyAlignment="1" applyProtection="1">
      <alignment vertical="center"/>
      <protection hidden="1"/>
    </xf>
    <xf numFmtId="0" fontId="15" fillId="2" borderId="0" xfId="0" applyFont="1" applyFill="1" applyBorder="1" applyAlignment="1" applyProtection="1">
      <alignment horizontal="right" vertical="center"/>
      <protection hidden="1"/>
    </xf>
    <xf numFmtId="2" fontId="16" fillId="3" borderId="2" xfId="3" applyNumberFormat="1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Alignment="1" applyProtection="1">
      <alignment horizontal="center" vertical="center"/>
      <protection hidden="1"/>
    </xf>
    <xf numFmtId="0" fontId="18" fillId="2" borderId="0" xfId="0" applyFont="1" applyFill="1" applyAlignment="1" applyProtection="1">
      <alignment horizontal="center" vertical="center"/>
      <protection hidden="1"/>
    </xf>
    <xf numFmtId="0" fontId="18" fillId="2" borderId="0" xfId="0" applyFont="1" applyFill="1" applyBorder="1" applyAlignment="1" applyProtection="1">
      <alignment horizontal="center" vertical="center"/>
      <protection hidden="1"/>
    </xf>
    <xf numFmtId="0" fontId="19" fillId="2" borderId="0" xfId="0" applyFont="1" applyFill="1" applyBorder="1" applyAlignment="1" applyProtection="1">
      <alignment horizontal="center" vertical="center"/>
      <protection hidden="1"/>
    </xf>
    <xf numFmtId="2" fontId="17" fillId="8" borderId="17" xfId="0" applyNumberFormat="1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center" vertical="center"/>
      <protection hidden="1"/>
    </xf>
    <xf numFmtId="0" fontId="20" fillId="2" borderId="0" xfId="0" applyFont="1" applyFill="1" applyBorder="1" applyAlignment="1" applyProtection="1">
      <alignment horizontal="center" vertical="center"/>
      <protection hidden="1"/>
    </xf>
    <xf numFmtId="0" fontId="20" fillId="2" borderId="0" xfId="0" applyFont="1" applyFill="1" applyBorder="1" applyAlignment="1" applyProtection="1">
      <alignment horizontal="left" vertical="center"/>
      <protection hidden="1"/>
    </xf>
    <xf numFmtId="2" fontId="15" fillId="2" borderId="0" xfId="0" applyNumberFormat="1" applyFont="1" applyFill="1" applyBorder="1" applyAlignment="1" applyProtection="1">
      <alignment horizontal="center" vertical="center"/>
      <protection hidden="1"/>
    </xf>
    <xf numFmtId="1" fontId="15" fillId="2" borderId="0" xfId="3" applyNumberFormat="1" applyFont="1" applyFill="1" applyBorder="1" applyAlignment="1" applyProtection="1">
      <alignment horizontal="left" vertical="center"/>
      <protection hidden="1"/>
    </xf>
    <xf numFmtId="2" fontId="15" fillId="2" borderId="0" xfId="3" applyNumberFormat="1" applyFont="1" applyFill="1" applyBorder="1" applyAlignment="1" applyProtection="1">
      <alignment horizontal="center" vertical="center"/>
      <protection hidden="1"/>
    </xf>
    <xf numFmtId="2" fontId="15" fillId="2" borderId="0" xfId="0" applyNumberFormat="1" applyFont="1" applyFill="1" applyBorder="1" applyAlignment="1" applyProtection="1">
      <alignment horizontal="right" vertical="center"/>
      <protection hidden="1"/>
    </xf>
    <xf numFmtId="2" fontId="15" fillId="2" borderId="0" xfId="0" applyNumberFormat="1" applyFont="1" applyFill="1" applyBorder="1" applyAlignment="1" applyProtection="1">
      <alignment horizontal="left" vertical="center"/>
      <protection hidden="1"/>
    </xf>
    <xf numFmtId="164" fontId="15" fillId="2" borderId="0" xfId="0" applyNumberFormat="1" applyFont="1" applyFill="1" applyBorder="1" applyAlignment="1" applyProtection="1">
      <alignment horizontal="center" vertical="center"/>
      <protection hidden="1"/>
    </xf>
    <xf numFmtId="165" fontId="1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6" borderId="0" xfId="0" applyFont="1" applyFill="1" applyBorder="1" applyAlignment="1" applyProtection="1">
      <alignment horizontal="center" vertical="center"/>
      <protection hidden="1"/>
    </xf>
    <xf numFmtId="1" fontId="15" fillId="2" borderId="0" xfId="3" applyNumberFormat="1" applyFont="1" applyFill="1" applyBorder="1" applyAlignment="1" applyProtection="1">
      <alignment horizontal="center" vertical="center"/>
      <protection hidden="1"/>
    </xf>
    <xf numFmtId="166" fontId="15" fillId="6" borderId="0" xfId="0" applyNumberFormat="1" applyFont="1" applyFill="1" applyBorder="1" applyAlignment="1" applyProtection="1">
      <alignment horizontal="center" vertical="center"/>
      <protection hidden="1"/>
    </xf>
    <xf numFmtId="2" fontId="15" fillId="6" borderId="0" xfId="0" applyNumberFormat="1" applyFont="1" applyFill="1" applyBorder="1" applyAlignment="1" applyProtection="1">
      <alignment horizontal="center" vertical="center"/>
      <protection hidden="1"/>
    </xf>
    <xf numFmtId="2" fontId="21" fillId="2" borderId="2" xfId="2" applyNumberFormat="1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Border="1" applyAlignment="1" applyProtection="1">
      <alignment horizontal="center" vertical="center"/>
      <protection hidden="1"/>
    </xf>
    <xf numFmtId="0" fontId="17" fillId="2" borderId="8" xfId="0" applyFont="1" applyFill="1" applyBorder="1" applyAlignment="1" applyProtection="1">
      <alignment horizontal="left" vertical="center"/>
      <protection hidden="1"/>
    </xf>
    <xf numFmtId="0" fontId="17" fillId="2" borderId="0" xfId="0" applyFont="1" applyFill="1" applyBorder="1" applyAlignment="1" applyProtection="1">
      <alignment horizontal="left" vertical="center"/>
      <protection hidden="1"/>
    </xf>
    <xf numFmtId="0" fontId="17" fillId="2" borderId="9" xfId="0" applyFont="1" applyFill="1" applyBorder="1" applyAlignment="1" applyProtection="1">
      <alignment horizontal="center" vertical="center"/>
      <protection hidden="1"/>
    </xf>
    <xf numFmtId="1" fontId="17" fillId="2" borderId="0" xfId="3" applyNumberFormat="1" applyFont="1" applyFill="1" applyBorder="1" applyAlignment="1" applyProtection="1">
      <alignment horizontal="left" vertical="center"/>
      <protection hidden="1"/>
    </xf>
    <xf numFmtId="2" fontId="17" fillId="2" borderId="0" xfId="3" applyNumberFormat="1" applyFont="1" applyFill="1" applyBorder="1" applyAlignment="1" applyProtection="1">
      <alignment horizontal="center" vertical="center"/>
      <protection hidden="1"/>
    </xf>
    <xf numFmtId="0" fontId="17" fillId="2" borderId="10" xfId="0" applyFont="1" applyFill="1" applyBorder="1" applyAlignment="1" applyProtection="1">
      <alignment horizontal="left" vertical="center"/>
      <protection hidden="1"/>
    </xf>
    <xf numFmtId="0" fontId="17" fillId="2" borderId="13" xfId="0" applyFont="1" applyFill="1" applyBorder="1" applyAlignment="1" applyProtection="1">
      <alignment horizontal="left" vertical="center"/>
      <protection hidden="1"/>
    </xf>
    <xf numFmtId="0" fontId="17" fillId="2" borderId="11" xfId="0" applyFont="1" applyFill="1" applyBorder="1" applyAlignment="1" applyProtection="1">
      <alignment horizontal="center" vertical="center"/>
      <protection hidden="1"/>
    </xf>
    <xf numFmtId="0" fontId="22" fillId="2" borderId="0" xfId="0" applyFont="1" applyFill="1" applyBorder="1" applyAlignment="1" applyProtection="1">
      <alignment horizontal="center" vertical="center"/>
      <protection hidden="1"/>
    </xf>
    <xf numFmtId="0" fontId="23" fillId="4" borderId="0" xfId="0" applyFont="1" applyFill="1" applyBorder="1" applyAlignment="1" applyProtection="1">
      <alignment horizontal="left" vertical="center"/>
      <protection hidden="1"/>
    </xf>
    <xf numFmtId="2" fontId="17" fillId="2" borderId="0" xfId="0" applyNumberFormat="1" applyFont="1" applyFill="1" applyBorder="1" applyAlignment="1" applyProtection="1">
      <alignment horizontal="center" vertical="center"/>
      <protection hidden="1"/>
    </xf>
    <xf numFmtId="165" fontId="17" fillId="2" borderId="0" xfId="0" applyNumberFormat="1" applyFont="1" applyFill="1" applyBorder="1" applyAlignment="1" applyProtection="1">
      <alignment horizontal="center" vertical="center"/>
      <protection hidden="1"/>
    </xf>
    <xf numFmtId="164" fontId="17" fillId="2" borderId="0" xfId="0" applyNumberFormat="1" applyFont="1" applyFill="1" applyBorder="1" applyAlignment="1" applyProtection="1">
      <alignment horizontal="center" vertical="center"/>
      <protection hidden="1"/>
    </xf>
    <xf numFmtId="0" fontId="22" fillId="4" borderId="6" xfId="0" applyFont="1" applyFill="1" applyBorder="1" applyAlignment="1" applyProtection="1">
      <alignment vertical="center"/>
      <protection hidden="1"/>
    </xf>
    <xf numFmtId="0" fontId="17" fillId="4" borderId="12" xfId="0" applyFont="1" applyFill="1" applyBorder="1" applyAlignment="1" applyProtection="1">
      <alignment vertical="center"/>
      <protection hidden="1"/>
    </xf>
    <xf numFmtId="0" fontId="17" fillId="2" borderId="7" xfId="0" applyFont="1" applyFill="1" applyBorder="1" applyAlignment="1" applyProtection="1">
      <alignment horizontal="center" vertical="center"/>
      <protection hidden="1"/>
    </xf>
    <xf numFmtId="0" fontId="17" fillId="4" borderId="8" xfId="0" applyFont="1" applyFill="1" applyBorder="1" applyAlignment="1" applyProtection="1">
      <alignment vertical="center"/>
      <protection hidden="1"/>
    </xf>
    <xf numFmtId="0" fontId="17" fillId="4" borderId="0" xfId="0" applyFont="1" applyFill="1" applyBorder="1" applyAlignment="1" applyProtection="1">
      <alignment vertical="center"/>
      <protection hidden="1"/>
    </xf>
    <xf numFmtId="0" fontId="24" fillId="2" borderId="0" xfId="0" applyFont="1" applyFill="1" applyAlignment="1" applyProtection="1">
      <alignment vertical="center"/>
      <protection hidden="1"/>
    </xf>
    <xf numFmtId="0" fontId="17" fillId="2" borderId="0" xfId="0" applyFont="1" applyFill="1" applyBorder="1" applyAlignment="1" applyProtection="1">
      <alignment horizontal="right" vertical="center"/>
      <protection hidden="1"/>
    </xf>
    <xf numFmtId="2" fontId="17" fillId="2" borderId="0" xfId="0" applyNumberFormat="1" applyFont="1" applyFill="1" applyBorder="1" applyAlignment="1" applyProtection="1">
      <alignment horizontal="left" vertical="center"/>
      <protection hidden="1"/>
    </xf>
    <xf numFmtId="0" fontId="22" fillId="4" borderId="8" xfId="0" applyFont="1" applyFill="1" applyBorder="1" applyAlignment="1" applyProtection="1">
      <alignment vertical="center"/>
      <protection hidden="1"/>
    </xf>
    <xf numFmtId="0" fontId="17" fillId="4" borderId="8" xfId="0" applyFont="1" applyFill="1" applyBorder="1" applyAlignment="1" applyProtection="1">
      <alignment horizontal="left" vertical="center" wrapText="1"/>
      <protection hidden="1"/>
    </xf>
    <xf numFmtId="0" fontId="17" fillId="4" borderId="0" xfId="0" applyFont="1" applyFill="1" applyBorder="1" applyAlignment="1" applyProtection="1">
      <alignment horizontal="left" vertical="center" wrapText="1"/>
      <protection hidden="1"/>
    </xf>
    <xf numFmtId="0" fontId="17" fillId="4" borderId="9" xfId="0" applyFont="1" applyFill="1" applyBorder="1" applyAlignment="1" applyProtection="1">
      <alignment horizontal="left" vertical="center" wrapText="1"/>
      <protection hidden="1"/>
    </xf>
    <xf numFmtId="0" fontId="22" fillId="6" borderId="0" xfId="0" applyFont="1" applyFill="1" applyBorder="1" applyAlignment="1" applyProtection="1">
      <alignment horizontal="center" vertical="center"/>
      <protection hidden="1"/>
    </xf>
    <xf numFmtId="166" fontId="17" fillId="2" borderId="0" xfId="0" applyNumberFormat="1" applyFont="1" applyFill="1" applyBorder="1" applyAlignment="1" applyProtection="1">
      <alignment horizontal="center" vertical="center"/>
      <protection hidden="1"/>
    </xf>
    <xf numFmtId="0" fontId="23" fillId="4" borderId="0" xfId="0" applyFont="1" applyFill="1" applyBorder="1" applyAlignment="1" applyProtection="1">
      <alignment horizontal="left" vertical="center"/>
      <protection hidden="1"/>
    </xf>
    <xf numFmtId="0" fontId="25" fillId="2" borderId="0" xfId="0" applyFont="1" applyFill="1" applyBorder="1" applyAlignment="1" applyProtection="1">
      <alignment horizontal="left" vertical="center"/>
      <protection hidden="1"/>
    </xf>
    <xf numFmtId="0" fontId="22" fillId="4" borderId="0" xfId="0" applyFont="1" applyFill="1" applyBorder="1" applyAlignment="1" applyProtection="1">
      <alignment horizontal="left" vertical="center"/>
      <protection hidden="1"/>
    </xf>
    <xf numFmtId="0" fontId="17" fillId="4" borderId="8" xfId="0" applyFont="1" applyFill="1" applyBorder="1" applyAlignment="1" applyProtection="1">
      <alignment vertical="center" wrapText="1"/>
      <protection hidden="1"/>
    </xf>
    <xf numFmtId="0" fontId="17" fillId="4" borderId="0" xfId="0" applyFont="1" applyFill="1" applyBorder="1" applyAlignment="1" applyProtection="1">
      <alignment vertical="center" wrapText="1"/>
      <protection hidden="1"/>
    </xf>
    <xf numFmtId="0" fontId="17" fillId="4" borderId="9" xfId="0" applyFont="1" applyFill="1" applyBorder="1" applyAlignment="1" applyProtection="1">
      <alignment vertical="center" wrapText="1"/>
      <protection hidden="1"/>
    </xf>
    <xf numFmtId="0" fontId="17" fillId="4" borderId="0" xfId="0" applyFont="1" applyFill="1" applyBorder="1" applyAlignment="1" applyProtection="1">
      <alignment horizontal="left" vertical="center"/>
      <protection hidden="1"/>
    </xf>
    <xf numFmtId="0" fontId="17" fillId="4" borderId="10" xfId="0" applyFont="1" applyFill="1" applyBorder="1" applyAlignment="1" applyProtection="1">
      <alignment vertical="center"/>
      <protection hidden="1"/>
    </xf>
    <xf numFmtId="0" fontId="17" fillId="4" borderId="13" xfId="0" applyFont="1" applyFill="1" applyBorder="1" applyAlignment="1" applyProtection="1">
      <alignment vertical="center"/>
      <protection hidden="1"/>
    </xf>
    <xf numFmtId="0" fontId="17" fillId="4" borderId="0" xfId="0" applyFont="1" applyFill="1" applyBorder="1" applyAlignment="1" applyProtection="1">
      <alignment horizontal="left" vertical="center" wrapText="1"/>
      <protection hidden="1"/>
    </xf>
    <xf numFmtId="0" fontId="17" fillId="2" borderId="0" xfId="0" applyFont="1" applyFill="1" applyBorder="1" applyAlignment="1" applyProtection="1">
      <alignment horizontal="left" vertical="center" wrapText="1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17" fillId="2" borderId="1" xfId="0" applyFont="1" applyFill="1" applyBorder="1" applyAlignment="1" applyProtection="1">
      <alignment horizontal="center" vertical="center"/>
      <protection hidden="1"/>
    </xf>
    <xf numFmtId="0" fontId="22" fillId="2" borderId="1" xfId="0" applyFont="1" applyFill="1" applyBorder="1" applyAlignment="1" applyProtection="1">
      <alignment horizontal="center" vertical="center"/>
      <protection hidden="1"/>
    </xf>
    <xf numFmtId="2" fontId="17" fillId="2" borderId="0" xfId="0" applyNumberFormat="1" applyFont="1" applyFill="1" applyAlignment="1" applyProtection="1">
      <alignment horizontal="center" vertical="center"/>
      <protection hidden="1"/>
    </xf>
    <xf numFmtId="0" fontId="22" fillId="2" borderId="0" xfId="0" applyFont="1" applyFill="1" applyBorder="1" applyAlignment="1" applyProtection="1">
      <alignment vertical="center"/>
      <protection hidden="1"/>
    </xf>
    <xf numFmtId="0" fontId="26" fillId="2" borderId="0" xfId="0" applyFont="1" applyFill="1" applyBorder="1" applyAlignment="1" applyProtection="1">
      <alignment vertical="center"/>
      <protection hidden="1"/>
    </xf>
    <xf numFmtId="2" fontId="17" fillId="3" borderId="2" xfId="3" applyNumberFormat="1" applyFont="1" applyFill="1" applyBorder="1" applyAlignment="1" applyProtection="1">
      <alignment horizontal="center" vertical="center"/>
      <protection locked="0"/>
    </xf>
    <xf numFmtId="2" fontId="17" fillId="2" borderId="2" xfId="3" applyNumberFormat="1" applyFont="1" applyFill="1" applyBorder="1" applyAlignment="1" applyProtection="1">
      <alignment horizontal="center" vertical="center"/>
      <protection hidden="1"/>
    </xf>
    <xf numFmtId="1" fontId="17" fillId="2" borderId="5" xfId="3" applyNumberFormat="1" applyFont="1" applyFill="1" applyBorder="1" applyAlignment="1" applyProtection="1">
      <alignment horizontal="center" vertical="center"/>
      <protection hidden="1"/>
    </xf>
    <xf numFmtId="2" fontId="17" fillId="2" borderId="5" xfId="3" applyNumberFormat="1" applyFont="1" applyFill="1" applyBorder="1" applyAlignment="1" applyProtection="1">
      <alignment horizontal="center" vertical="center"/>
      <protection hidden="1"/>
    </xf>
    <xf numFmtId="2" fontId="17" fillId="5" borderId="3" xfId="3" applyNumberFormat="1" applyFont="1" applyFill="1" applyBorder="1" applyAlignment="1" applyProtection="1">
      <alignment horizontal="center" vertical="center"/>
      <protection hidden="1"/>
    </xf>
    <xf numFmtId="2" fontId="17" fillId="5" borderId="2" xfId="3" applyNumberFormat="1" applyFont="1" applyFill="1" applyBorder="1" applyAlignment="1" applyProtection="1">
      <alignment horizontal="center" vertical="center"/>
      <protection hidden="1"/>
    </xf>
    <xf numFmtId="2" fontId="17" fillId="5" borderId="2" xfId="0" applyNumberFormat="1" applyFont="1" applyFill="1" applyBorder="1" applyAlignment="1" applyProtection="1">
      <alignment horizontal="center" vertical="center"/>
      <protection hidden="1"/>
    </xf>
    <xf numFmtId="9" fontId="17" fillId="2" borderId="0" xfId="1" applyFont="1" applyFill="1" applyAlignment="1" applyProtection="1">
      <alignment horizontal="center" vertical="center"/>
      <protection hidden="1"/>
    </xf>
    <xf numFmtId="0" fontId="24" fillId="2" borderId="1" xfId="0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left" vertical="center"/>
      <protection hidden="1"/>
    </xf>
    <xf numFmtId="0" fontId="17" fillId="2" borderId="6" xfId="0" applyFont="1" applyFill="1" applyBorder="1" applyAlignment="1" applyProtection="1">
      <alignment horizontal="left" vertical="center"/>
      <protection hidden="1"/>
    </xf>
    <xf numFmtId="2" fontId="17" fillId="7" borderId="2" xfId="0" applyNumberFormat="1" applyFont="1" applyFill="1" applyBorder="1" applyAlignment="1" applyProtection="1">
      <alignment horizontal="center" vertical="center"/>
      <protection hidden="1"/>
    </xf>
    <xf numFmtId="2" fontId="17" fillId="2" borderId="2" xfId="0" applyNumberFormat="1" applyFont="1" applyFill="1" applyBorder="1" applyAlignment="1" applyProtection="1">
      <alignment horizontal="center" vertical="center"/>
      <protection hidden="1"/>
    </xf>
    <xf numFmtId="166" fontId="17" fillId="2" borderId="2" xfId="0" applyNumberFormat="1" applyFont="1" applyFill="1" applyBorder="1" applyAlignment="1" applyProtection="1">
      <alignment horizontal="center" vertical="center"/>
      <protection hidden="1"/>
    </xf>
    <xf numFmtId="0" fontId="17" fillId="2" borderId="2" xfId="0" applyFont="1" applyFill="1" applyBorder="1" applyAlignment="1" applyProtection="1">
      <alignment horizontal="center" vertical="center"/>
      <protection hidden="1"/>
    </xf>
    <xf numFmtId="166" fontId="17" fillId="7" borderId="2" xfId="0" applyNumberFormat="1" applyFont="1" applyFill="1" applyBorder="1" applyAlignment="1" applyProtection="1">
      <alignment horizontal="center" vertical="center"/>
      <protection hidden="1"/>
    </xf>
    <xf numFmtId="0" fontId="17" fillId="7" borderId="2" xfId="0" applyFont="1" applyFill="1" applyBorder="1" applyAlignment="1" applyProtection="1">
      <alignment horizontal="center" vertical="center"/>
      <protection hidden="1"/>
    </xf>
    <xf numFmtId="2" fontId="17" fillId="2" borderId="20" xfId="0" applyNumberFormat="1" applyFont="1" applyFill="1" applyBorder="1" applyAlignment="1" applyProtection="1">
      <alignment horizontal="center" vertical="center"/>
      <protection hidden="1"/>
    </xf>
    <xf numFmtId="166" fontId="17" fillId="2" borderId="20" xfId="0" applyNumberFormat="1" applyFont="1" applyFill="1" applyBorder="1" applyAlignment="1" applyProtection="1">
      <alignment horizontal="center" vertical="center"/>
      <protection hidden="1"/>
    </xf>
    <xf numFmtId="0" fontId="17" fillId="2" borderId="20" xfId="0" applyFont="1" applyFill="1" applyBorder="1" applyAlignment="1" applyProtection="1">
      <alignment horizontal="center" vertical="center"/>
      <protection hidden="1"/>
    </xf>
    <xf numFmtId="2" fontId="17" fillId="5" borderId="3" xfId="0" applyNumberFormat="1" applyFont="1" applyFill="1" applyBorder="1" applyAlignment="1" applyProtection="1">
      <alignment horizontal="center" vertical="center"/>
      <protection hidden="1"/>
    </xf>
    <xf numFmtId="2" fontId="27" fillId="5" borderId="2" xfId="0" applyNumberFormat="1" applyFont="1" applyFill="1" applyBorder="1" applyAlignment="1" applyProtection="1">
      <alignment horizontal="center" vertical="center"/>
      <protection hidden="1"/>
    </xf>
    <xf numFmtId="1" fontId="15" fillId="2" borderId="0" xfId="0" applyNumberFormat="1" applyFont="1" applyFill="1" applyAlignment="1" applyProtection="1">
      <alignment horizontal="center" vertical="center"/>
      <protection hidden="1"/>
    </xf>
    <xf numFmtId="0" fontId="28" fillId="2" borderId="0" xfId="0" applyFont="1" applyFill="1" applyAlignment="1" applyProtection="1">
      <alignment vertical="center"/>
      <protection hidden="1"/>
    </xf>
    <xf numFmtId="1" fontId="15" fillId="2" borderId="0" xfId="0" applyNumberFormat="1" applyFont="1" applyFill="1" applyBorder="1" applyAlignment="1" applyProtection="1">
      <alignment horizontal="left" vertical="center"/>
      <protection hidden="1"/>
    </xf>
    <xf numFmtId="1" fontId="20" fillId="2" borderId="0" xfId="0" applyNumberFormat="1" applyFont="1" applyFill="1" applyBorder="1" applyAlignment="1" applyProtection="1">
      <alignment horizontal="left" vertical="center"/>
      <protection hidden="1"/>
    </xf>
    <xf numFmtId="1" fontId="15" fillId="2" borderId="0" xfId="0" applyNumberFormat="1" applyFont="1" applyFill="1" applyBorder="1" applyAlignment="1" applyProtection="1">
      <alignment horizontal="center" vertical="center"/>
      <protection hidden="1"/>
    </xf>
    <xf numFmtId="2" fontId="17" fillId="2" borderId="1" xfId="3" applyNumberFormat="1" applyFont="1" applyFill="1" applyBorder="1" applyAlignment="1" applyProtection="1">
      <alignment horizontal="center" vertical="center"/>
      <protection hidden="1"/>
    </xf>
    <xf numFmtId="2" fontId="17" fillId="2" borderId="21" xfId="3" applyNumberFormat="1" applyFont="1" applyFill="1" applyBorder="1" applyAlignment="1" applyProtection="1">
      <alignment horizontal="center" vertical="center"/>
      <protection hidden="1"/>
    </xf>
    <xf numFmtId="2" fontId="15" fillId="2" borderId="0" xfId="0" applyNumberFormat="1" applyFont="1" applyFill="1" applyAlignment="1" applyProtection="1">
      <alignment horizontal="center" vertical="center"/>
      <protection hidden="1"/>
    </xf>
    <xf numFmtId="0" fontId="15" fillId="2" borderId="0" xfId="0" applyFont="1" applyFill="1" applyBorder="1" applyAlignment="1" applyProtection="1">
      <alignment horizontal="left" vertical="center"/>
      <protection hidden="1"/>
    </xf>
    <xf numFmtId="0" fontId="18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8" fillId="2" borderId="0" xfId="0" applyFont="1" applyFill="1" applyAlignment="1" applyProtection="1">
      <alignment vertical="center" wrapText="1"/>
      <protection hidden="1"/>
    </xf>
    <xf numFmtId="0" fontId="29" fillId="2" borderId="0" xfId="0" applyFont="1" applyFill="1" applyAlignment="1" applyProtection="1">
      <alignment vertical="center" wrapText="1"/>
      <protection hidden="1"/>
    </xf>
    <xf numFmtId="0" fontId="15" fillId="2" borderId="0" xfId="0" applyFont="1" applyFill="1" applyAlignment="1" applyProtection="1">
      <alignment vertical="center" wrapText="1"/>
      <protection hidden="1"/>
    </xf>
    <xf numFmtId="0" fontId="14" fillId="2" borderId="0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30" fillId="2" borderId="0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Border="1" applyAlignment="1" applyProtection="1">
      <alignment vertical="center"/>
      <protection hidden="1"/>
    </xf>
    <xf numFmtId="0" fontId="30" fillId="2" borderId="0" xfId="0" applyFont="1" applyFill="1" applyBorder="1" applyAlignment="1" applyProtection="1">
      <alignment vertical="center"/>
      <protection hidden="1"/>
    </xf>
    <xf numFmtId="0" fontId="31" fillId="2" borderId="0" xfId="0" applyFont="1" applyFill="1" applyBorder="1" applyAlignment="1" applyProtection="1">
      <alignment horizontal="left" vertical="center"/>
      <protection hidden="1"/>
    </xf>
    <xf numFmtId="0" fontId="32" fillId="2" borderId="0" xfId="0" applyFont="1" applyFill="1" applyBorder="1" applyAlignment="1" applyProtection="1">
      <alignment vertical="center"/>
      <protection hidden="1"/>
    </xf>
    <xf numFmtId="0" fontId="31" fillId="2" borderId="0" xfId="0" applyFont="1" applyFill="1" applyBorder="1" applyAlignment="1" applyProtection="1">
      <alignment vertical="center"/>
      <protection hidden="1"/>
    </xf>
    <xf numFmtId="0" fontId="33" fillId="2" borderId="0" xfId="0" applyFont="1" applyFill="1" applyAlignment="1" applyProtection="1">
      <alignment horizontal="left" vertical="center" wrapText="1"/>
      <protection hidden="1"/>
    </xf>
    <xf numFmtId="1" fontId="16" fillId="3" borderId="2" xfId="3" applyNumberFormat="1" applyFont="1" applyFill="1" applyBorder="1" applyAlignment="1" applyProtection="1">
      <alignment horizontal="center" vertical="center"/>
      <protection locked="0"/>
    </xf>
    <xf numFmtId="1" fontId="16" fillId="3" borderId="2" xfId="3" applyNumberFormat="1" applyFont="1" applyFill="1" applyBorder="1" applyAlignment="1" applyProtection="1">
      <alignment horizontal="left" vertical="center"/>
      <protection locked="0"/>
    </xf>
  </cellXfs>
  <cellStyles count="4">
    <cellStyle name="Normal" xfId="0" builtinId="0"/>
    <cellStyle name="Normal 5" xfId="3"/>
    <cellStyle name="Porcentagem" xfId="1" builtinId="5"/>
    <cellStyle name="Texto de Aviso" xfId="2" builtinId="11"/>
  </cellStyles>
  <dxfs count="4">
    <dxf>
      <font>
        <u val="none"/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 val="none"/>
        <color theme="0"/>
      </font>
      <fill>
        <patternFill patternType="none">
          <bgColor auto="1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91319596464404E-2"/>
          <c:y val="4.29083669824495E-2"/>
          <c:w val="0.85882456167312804"/>
          <c:h val="0.78857612886203998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val>
            <c:numRef>
              <c:f>Plan1!#REF!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5A1-4116-9050-0E1395DFDCF0}"/>
            </c:ext>
          </c:extLst>
        </c:ser>
        <c:ser>
          <c:idx val="1"/>
          <c:order val="1"/>
          <c:invertIfNegative val="0"/>
          <c:val>
            <c:numRef>
              <c:f>Plan1!#REF!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5A1-4116-9050-0E1395DFDCF0}"/>
            </c:ext>
          </c:extLst>
        </c:ser>
        <c:ser>
          <c:idx val="2"/>
          <c:order val="2"/>
          <c:invertIfNegative val="0"/>
          <c:val>
            <c:numRef>
              <c:f>Plan1!#REF!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5A1-4116-9050-0E1395DFDCF0}"/>
            </c:ext>
          </c:extLst>
        </c:ser>
        <c:ser>
          <c:idx val="3"/>
          <c:order val="3"/>
          <c:invertIfNegative val="0"/>
          <c:val>
            <c:numRef>
              <c:f>Plan1!#REF!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Plan1!#REF!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5A1-4116-9050-0E1395DFD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30"/>
        <c:axId val="2096529888"/>
        <c:axId val="2129937312"/>
      </c:barChart>
      <c:catAx>
        <c:axId val="2096529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129937312"/>
        <c:crosses val="autoZero"/>
        <c:auto val="1"/>
        <c:lblAlgn val="ctr"/>
        <c:lblOffset val="100"/>
        <c:noMultiLvlLbl val="0"/>
      </c:catAx>
      <c:valAx>
        <c:axId val="212993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% da matéria seca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096529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51646213371903"/>
          <c:y val="0.60062265500399703"/>
          <c:w val="0.208010346076029"/>
          <c:h val="0.19931289943815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0</xdr:colOff>
      <xdr:row>2</xdr:row>
      <xdr:rowOff>123830</xdr:rowOff>
    </xdr:from>
    <xdr:to>
      <xdr:col>43</xdr:col>
      <xdr:colOff>0</xdr:colOff>
      <xdr:row>40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728310</xdr:colOff>
      <xdr:row>12</xdr:row>
      <xdr:rowOff>84580</xdr:rowOff>
    </xdr:from>
    <xdr:to>
      <xdr:col>16</xdr:col>
      <xdr:colOff>969610</xdr:colOff>
      <xdr:row>18</xdr:row>
      <xdr:rowOff>209596</xdr:rowOff>
    </xdr:to>
    <xdr:sp macro="" textlink="">
      <xdr:nvSpPr>
        <xdr:cNvPr id="3" name="Balão Retangula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699185" y="1830830"/>
          <a:ext cx="6416675" cy="1649016"/>
        </a:xfrm>
        <a:prstGeom prst="wedgeRectCallout">
          <a:avLst>
            <a:gd name="adj1" fmla="val 44920"/>
            <a:gd name="adj2" fmla="val 8649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>
              <a:latin typeface="Times New Roman" charset="0"/>
              <a:ea typeface="Times New Roman" charset="0"/>
              <a:cs typeface="Times New Roman" charset="0"/>
            </a:rPr>
            <a:t>Variável associada ao tipo de concentrado:</a:t>
          </a:r>
        </a:p>
        <a:p>
          <a:pPr algn="l"/>
          <a:endParaRPr lang="pt-BR" sz="1200">
            <a:latin typeface="Times New Roman" charset="0"/>
            <a:ea typeface="Times New Roman" charset="0"/>
            <a:cs typeface="Times New Roman" charset="0"/>
          </a:endParaRPr>
        </a:p>
        <a:p>
          <a:pPr algn="l"/>
          <a:r>
            <a:rPr lang="pt-BR" sz="1200">
              <a:latin typeface="Times New Roman" charset="0"/>
              <a:ea typeface="Times New Roman" charset="0"/>
              <a:cs typeface="Times New Roman" charset="0"/>
            </a:rPr>
            <a:t>Utilizar </a:t>
          </a:r>
          <a:r>
            <a:rPr lang="pt-BR" sz="1400" b="1">
              <a:latin typeface="Times New Roman" charset="0"/>
              <a:ea typeface="Times New Roman" charset="0"/>
              <a:cs typeface="Times New Roman" charset="0"/>
            </a:rPr>
            <a:t>D = 1 </a:t>
          </a:r>
          <a:r>
            <a:rPr lang="pt-BR" sz="1200">
              <a:latin typeface="Times New Roman" charset="0"/>
              <a:ea typeface="Times New Roman" charset="0"/>
              <a:cs typeface="Times New Roman" charset="0"/>
            </a:rPr>
            <a:t>para concentrados contendo fibra de menor degradação potencial [Farelo, torta e caroço de algodão; farelo e torta de girassol; farelo de trigo; e milho desintegrado com palha e sabugo (MDPS)]. </a:t>
          </a:r>
        </a:p>
        <a:p>
          <a:pPr algn="l"/>
          <a:endParaRPr lang="pt-BR" sz="1200">
            <a:latin typeface="Times New Roman" charset="0"/>
            <a:ea typeface="Times New Roman" charset="0"/>
            <a:cs typeface="Times New Roman" charset="0"/>
          </a:endParaRPr>
        </a:p>
        <a:p>
          <a:pPr algn="l"/>
          <a:r>
            <a:rPr lang="pt-BR" sz="1200">
              <a:latin typeface="Times New Roman" charset="0"/>
              <a:ea typeface="Times New Roman" charset="0"/>
              <a:cs typeface="Times New Roman" charset="0"/>
            </a:rPr>
            <a:t>Utilizar </a:t>
          </a:r>
          <a:r>
            <a:rPr lang="pt-BR" sz="1400" b="1">
              <a:latin typeface="Times New Roman" charset="0"/>
              <a:ea typeface="Times New Roman" charset="0"/>
              <a:cs typeface="Times New Roman" charset="0"/>
            </a:rPr>
            <a:t>D = 0 </a:t>
          </a:r>
          <a:r>
            <a:rPr lang="pt-BR" sz="1200">
              <a:latin typeface="Times New Roman" charset="0"/>
              <a:ea typeface="Times New Roman" charset="0"/>
              <a:cs typeface="Times New Roman" charset="0"/>
            </a:rPr>
            <a:t>para os demais alimentos concentrados.</a:t>
          </a:r>
        </a:p>
        <a:p>
          <a:pPr algn="l"/>
          <a:endParaRPr lang="pt-BR" sz="1200">
            <a:latin typeface="Times New Roman" charset="0"/>
            <a:ea typeface="Times New Roman" charset="0"/>
            <a:cs typeface="Times New Roman" charset="0"/>
          </a:endParaRPr>
        </a:p>
      </xdr:txBody>
    </xdr:sp>
    <xdr:clientData/>
  </xdr:twoCellAnchor>
  <xdr:twoCellAnchor editAs="oneCell">
    <xdr:from>
      <xdr:col>11</xdr:col>
      <xdr:colOff>1187986</xdr:colOff>
      <xdr:row>40</xdr:row>
      <xdr:rowOff>41627</xdr:rowOff>
    </xdr:from>
    <xdr:to>
      <xdr:col>14</xdr:col>
      <xdr:colOff>594783</xdr:colOff>
      <xdr:row>59</xdr:row>
      <xdr:rowOff>19402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58653" y="8536516"/>
          <a:ext cx="3618963" cy="4874331"/>
        </a:xfrm>
        <a:prstGeom prst="rect">
          <a:avLst/>
        </a:prstGeom>
      </xdr:spPr>
    </xdr:pic>
    <xdr:clientData/>
  </xdr:twoCellAnchor>
  <xdr:twoCellAnchor>
    <xdr:from>
      <xdr:col>1</xdr:col>
      <xdr:colOff>1668235</xdr:colOff>
      <xdr:row>41</xdr:row>
      <xdr:rowOff>89156</xdr:rowOff>
    </xdr:from>
    <xdr:to>
      <xdr:col>10</xdr:col>
      <xdr:colOff>692291</xdr:colOff>
      <xdr:row>55</xdr:row>
      <xdr:rowOff>15271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414360" y="8741031"/>
          <a:ext cx="15946806" cy="3482115"/>
          <a:chOff x="4311560" y="15498035"/>
          <a:chExt cx="13444392" cy="3324406"/>
        </a:xfrm>
      </xdr:grpSpPr>
      <xdr:pic>
        <xdr:nvPicPr>
          <xdr:cNvPr id="6" name="Imagem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8099133" y="16417201"/>
            <a:ext cx="3286348" cy="1467773"/>
          </a:xfrm>
          <a:prstGeom prst="rect">
            <a:avLst/>
          </a:prstGeom>
        </xdr:spPr>
      </xdr:pic>
      <xdr:pic>
        <xdr:nvPicPr>
          <xdr:cNvPr id="7" name="Imagem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10575211" y="16394186"/>
            <a:ext cx="3294045" cy="1562465"/>
          </a:xfrm>
          <a:prstGeom prst="rect">
            <a:avLst/>
          </a:prstGeom>
        </xdr:spPr>
      </xdr:pic>
      <xdr:pic>
        <xdr:nvPicPr>
          <xdr:cNvPr id="8" name="Imagem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13066181" y="16328328"/>
            <a:ext cx="3147289" cy="1562464"/>
          </a:xfrm>
          <a:prstGeom prst="rect">
            <a:avLst/>
          </a:prstGeom>
        </xdr:spPr>
      </xdr:pic>
      <xdr:pic>
        <xdr:nvPicPr>
          <xdr:cNvPr id="9" name="Imagem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15334144" y="16397790"/>
            <a:ext cx="3294045" cy="1549571"/>
          </a:xfrm>
          <a:prstGeom prst="rect">
            <a:avLst/>
          </a:prstGeom>
        </xdr:spPr>
      </xdr:pic>
      <xdr:pic>
        <xdr:nvPicPr>
          <xdr:cNvPr id="10" name="Imagem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5636477" y="16429726"/>
            <a:ext cx="3286348" cy="1422966"/>
          </a:xfrm>
          <a:prstGeom prst="rect">
            <a:avLst/>
          </a:prstGeom>
        </xdr:spPr>
      </xdr:pic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biLevel thresh="50000"/>
            <a:alphaModFix amt="8000"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10000" b="90000" l="10000" r="90000">
                        <a14:foregroundMark x1="50977" y1="51462" x2="50977" y2="51462"/>
                        <a14:foregroundMark x1="40752" y1="34503" x2="40752" y2="34503"/>
                        <a14:foregroundMark x1="62256" y1="54971" x2="62256" y2="54971"/>
                        <a14:foregroundMark x1="75940" y1="39766" x2="75940" y2="39766"/>
                        <a14:foregroundMark x1="84662" y1="46784" x2="84662" y2="46784"/>
                        <a14:foregroundMark x1="33835" y1="46784" x2="33835" y2="46784"/>
                        <a14:foregroundMark x1="12932" y1="44444" x2="12932" y2="44444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7769875">
            <a:off x="3379869" y="16429726"/>
            <a:ext cx="3286348" cy="1422966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02"/>
  <sheetViews>
    <sheetView showGridLines="0" showRowColHeaders="0" tabSelected="1" zoomScale="60" zoomScaleNormal="60" workbookViewId="0">
      <selection activeCell="D17" sqref="D17"/>
    </sheetView>
  </sheetViews>
  <sheetFormatPr defaultColWidth="8.77734375" defaultRowHeight="15.75"/>
  <cols>
    <col min="1" max="1" width="8.77734375" style="7"/>
    <col min="2" max="2" width="31.77734375" style="7" customWidth="1"/>
    <col min="3" max="3" width="23.33203125" style="7" customWidth="1"/>
    <col min="4" max="4" width="32" style="58" bestFit="1" customWidth="1"/>
    <col min="5" max="5" width="15.77734375" style="58" customWidth="1"/>
    <col min="6" max="6" width="17.88671875" style="58" bestFit="1" customWidth="1"/>
    <col min="7" max="7" width="17.88671875" style="58" customWidth="1"/>
    <col min="8" max="8" width="18.21875" style="58" bestFit="1" customWidth="1"/>
    <col min="9" max="9" width="22.33203125" style="58" customWidth="1"/>
    <col min="10" max="10" width="17.88671875" style="58" customWidth="1"/>
    <col min="11" max="11" width="20.5546875" style="58" customWidth="1"/>
    <col min="12" max="12" width="17.88671875" style="58" customWidth="1"/>
    <col min="13" max="13" width="20.88671875" style="58" customWidth="1"/>
    <col min="14" max="14" width="16" style="58" bestFit="1" customWidth="1"/>
    <col min="15" max="16" width="17.5546875" style="58" bestFit="1" customWidth="1"/>
    <col min="17" max="17" width="15.77734375" style="58" customWidth="1"/>
    <col min="18" max="18" width="21.33203125" style="7" customWidth="1"/>
    <col min="19" max="19" width="54.21875" style="7" customWidth="1"/>
    <col min="20" max="20" width="15.33203125" style="63" hidden="1" customWidth="1"/>
    <col min="21" max="22" width="9.6640625" style="63" hidden="1" customWidth="1"/>
    <col min="23" max="23" width="10" style="63" hidden="1" customWidth="1"/>
    <col min="24" max="24" width="12.33203125" style="63" hidden="1" customWidth="1"/>
    <col min="25" max="25" width="14.77734375" style="63" hidden="1" customWidth="1"/>
    <col min="26" max="26" width="14.109375" style="63" hidden="1" customWidth="1"/>
    <col min="27" max="27" width="20.77734375" style="63" hidden="1" customWidth="1"/>
    <col min="28" max="39" width="9.6640625" style="63" hidden="1" customWidth="1"/>
    <col min="40" max="40" width="15.6640625" style="63" hidden="1" customWidth="1"/>
    <col min="41" max="41" width="17.44140625" style="63" hidden="1" customWidth="1"/>
    <col min="42" max="42" width="12.44140625" style="64" hidden="1" customWidth="1"/>
    <col min="43" max="46" width="0" style="64" hidden="1" customWidth="1"/>
    <col min="47" max="16384" width="8.77734375" style="7"/>
  </cols>
  <sheetData>
    <row r="1" spans="2:41" s="59" customFormat="1" ht="3" customHeight="1">
      <c r="B1" s="59" t="s">
        <v>0</v>
      </c>
      <c r="C1" s="59" t="s">
        <v>1</v>
      </c>
      <c r="E1" s="59">
        <v>0</v>
      </c>
      <c r="F1" s="59">
        <v>1</v>
      </c>
      <c r="I1" s="59" t="s">
        <v>90</v>
      </c>
      <c r="J1" s="59" t="s">
        <v>89</v>
      </c>
      <c r="M1" s="59" t="s">
        <v>65</v>
      </c>
      <c r="N1" s="59" t="s">
        <v>75</v>
      </c>
      <c r="P1" s="59" t="s">
        <v>64</v>
      </c>
      <c r="Q1" s="59" t="s">
        <v>76</v>
      </c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</row>
    <row r="2" spans="2:41" s="59" customFormat="1" ht="3" customHeight="1"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</row>
    <row r="3" spans="2:41" s="59" customFormat="1" ht="3" customHeight="1">
      <c r="L3" s="155"/>
      <c r="Q3" s="156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</row>
    <row r="4" spans="2:41" s="59" customFormat="1" ht="3" customHeight="1">
      <c r="L4" s="156"/>
      <c r="M4" s="156"/>
      <c r="N4" s="156"/>
      <c r="O4" s="156"/>
      <c r="P4" s="155"/>
      <c r="Q4" s="157"/>
      <c r="R4" s="157"/>
      <c r="S4" s="157"/>
      <c r="T4" s="60"/>
      <c r="U4" s="61"/>
      <c r="V4" s="61"/>
      <c r="W4" s="61"/>
      <c r="X4" s="61"/>
      <c r="Y4" s="61"/>
      <c r="Z4" s="61"/>
      <c r="AA4" s="61"/>
      <c r="AB4" s="61"/>
      <c r="AC4" s="61"/>
      <c r="AD4" s="61"/>
      <c r="AE4" s="60"/>
      <c r="AF4" s="61"/>
      <c r="AG4" s="61"/>
      <c r="AH4" s="61"/>
      <c r="AI4" s="61"/>
      <c r="AJ4" s="61"/>
      <c r="AK4" s="61"/>
      <c r="AL4" s="61"/>
      <c r="AM4" s="61"/>
      <c r="AN4" s="60"/>
    </row>
    <row r="5" spans="2:41" s="59" customFormat="1" ht="3" customHeight="1"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</row>
    <row r="6" spans="2:41" s="64" customFormat="1" ht="20.100000000000001" customHeight="1">
      <c r="B6" s="168" t="s">
        <v>92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58"/>
      <c r="S6" s="159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2:41" ht="20.100000000000001" customHeight="1"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51"/>
      <c r="S7" s="10"/>
      <c r="AO7" s="64"/>
    </row>
    <row r="8" spans="2:41" ht="20.100000000000001" customHeight="1"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51"/>
      <c r="S8" s="10"/>
      <c r="AO8" s="64"/>
    </row>
    <row r="9" spans="2:41" ht="5.0999999999999996" customHeight="1"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AO9" s="64"/>
    </row>
    <row r="10" spans="2:41" ht="20.100000000000001" customHeight="1">
      <c r="B10" s="11"/>
      <c r="M10" s="118"/>
      <c r="N10" s="118"/>
      <c r="O10" s="118"/>
      <c r="P10" s="118"/>
      <c r="Q10" s="118"/>
      <c r="R10" s="9"/>
      <c r="S10" s="9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F10" s="65"/>
      <c r="AG10" s="65"/>
      <c r="AH10" s="65"/>
      <c r="AI10" s="65"/>
      <c r="AJ10" s="65"/>
      <c r="AK10" s="65"/>
      <c r="AL10" s="65"/>
      <c r="AM10" s="65"/>
      <c r="AO10" s="64"/>
    </row>
    <row r="11" spans="2:41" ht="20.100000000000001" customHeight="1">
      <c r="B11" s="12" t="s">
        <v>93</v>
      </c>
      <c r="C11" s="13"/>
      <c r="D11" s="119"/>
      <c r="E11" s="119"/>
      <c r="F11" s="119"/>
      <c r="G11" s="119"/>
      <c r="H11" s="119"/>
      <c r="I11" s="119"/>
      <c r="J11" s="119"/>
      <c r="K11" s="119"/>
      <c r="L11" s="119"/>
      <c r="M11" s="120"/>
      <c r="N11" s="120"/>
      <c r="O11" s="120"/>
      <c r="P11" s="120"/>
      <c r="Q11" s="120"/>
      <c r="R11" s="11"/>
      <c r="S11" s="9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F11" s="65"/>
      <c r="AG11" s="65"/>
      <c r="AH11" s="65"/>
      <c r="AI11" s="65"/>
      <c r="AJ11" s="65"/>
      <c r="AK11" s="65"/>
      <c r="AL11" s="65"/>
      <c r="AM11" s="65"/>
      <c r="AO11" s="64"/>
    </row>
    <row r="12" spans="2:41" ht="20.100000000000001" customHeight="1" thickBot="1">
      <c r="B12" s="14" t="s">
        <v>2</v>
      </c>
      <c r="C12" s="15"/>
      <c r="D12" s="63"/>
      <c r="E12" s="63" t="s">
        <v>69</v>
      </c>
      <c r="F12" s="64"/>
      <c r="G12" s="63" t="s">
        <v>70</v>
      </c>
      <c r="H12" s="63"/>
      <c r="I12" s="63"/>
      <c r="J12" s="64"/>
      <c r="K12" s="79"/>
      <c r="L12" s="88"/>
      <c r="M12" s="88"/>
      <c r="N12" s="88"/>
      <c r="O12" s="88"/>
      <c r="P12" s="88"/>
      <c r="Q12" s="88"/>
      <c r="R12" s="11"/>
      <c r="S12" s="9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F12" s="65"/>
      <c r="AG12" s="65"/>
      <c r="AH12" s="65"/>
      <c r="AI12" s="65"/>
      <c r="AJ12" s="65"/>
      <c r="AK12" s="65"/>
      <c r="AL12" s="65"/>
      <c r="AM12" s="65"/>
      <c r="AO12" s="64"/>
    </row>
    <row r="13" spans="2:41" ht="20.100000000000001" customHeight="1">
      <c r="B13" s="17" t="s">
        <v>88</v>
      </c>
      <c r="C13" s="4" t="s">
        <v>89</v>
      </c>
      <c r="D13" s="63"/>
      <c r="E13" s="63"/>
      <c r="F13" s="63"/>
      <c r="G13" s="63" t="s">
        <v>71</v>
      </c>
      <c r="H13" s="63" t="s">
        <v>72</v>
      </c>
      <c r="I13" s="63" t="s">
        <v>73</v>
      </c>
      <c r="J13" s="64"/>
      <c r="K13" s="160"/>
      <c r="L13" s="162"/>
      <c r="M13" s="88"/>
      <c r="N13" s="88"/>
      <c r="O13" s="88"/>
      <c r="P13" s="88"/>
      <c r="Q13" s="88"/>
      <c r="R13" s="11"/>
      <c r="S13" s="9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F13" s="65"/>
      <c r="AG13" s="65"/>
      <c r="AH13" s="65"/>
      <c r="AI13" s="65"/>
      <c r="AJ13" s="65"/>
      <c r="AK13" s="65"/>
      <c r="AL13" s="65"/>
      <c r="AM13" s="65"/>
      <c r="AO13" s="64"/>
    </row>
    <row r="14" spans="2:41" ht="20.100000000000001" customHeight="1">
      <c r="B14" s="54" t="s">
        <v>63</v>
      </c>
      <c r="C14" s="5" t="s">
        <v>76</v>
      </c>
      <c r="D14" s="56" t="s">
        <v>74</v>
      </c>
      <c r="E14" s="67">
        <f>IF(C14="Zebuíno",(-2.7878+(0.08789*C18^0.75)+(5.0487*C19)-(1.6835*C19^2)),IF(C14="Cruzado",(-2.6098+(0.08844*C18^0.75)+(4.4672*C19)-1.3579*C19^2)))</f>
        <v>9.216111345718744</v>
      </c>
      <c r="F14" s="63"/>
      <c r="G14" s="67">
        <f>-1.7824+0.07765*C18^0.75+4.0415*C19-0.8973*C19^2</f>
        <v>9.9548469889479918</v>
      </c>
      <c r="H14" s="153">
        <f>-0.6273+0.06453*C18^0.75+3.871*C19-0.614*C19^2</f>
        <v>10.626643423300887</v>
      </c>
      <c r="I14" s="153">
        <f>-2.8836+0.08435*C18^0.75+4.5145*C19-0.9631*C19^2</f>
        <v>10.152935374987289</v>
      </c>
      <c r="J14" s="63"/>
      <c r="K14" s="160"/>
      <c r="L14" s="162"/>
      <c r="M14" s="88"/>
      <c r="N14" s="88"/>
      <c r="O14" s="88"/>
      <c r="P14" s="88"/>
      <c r="Q14" s="88"/>
      <c r="R14" s="11"/>
      <c r="S14" s="9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F14" s="65"/>
      <c r="AG14" s="65"/>
      <c r="AH14" s="65"/>
      <c r="AI14" s="65"/>
      <c r="AJ14" s="65"/>
      <c r="AK14" s="65"/>
      <c r="AL14" s="65"/>
      <c r="AM14" s="65"/>
      <c r="AO14" s="64"/>
    </row>
    <row r="15" spans="2:41" ht="20.100000000000001" customHeight="1">
      <c r="B15" s="55"/>
      <c r="C15" s="5" t="s">
        <v>65</v>
      </c>
      <c r="D15" s="154"/>
      <c r="E15" s="63"/>
      <c r="F15" s="63"/>
      <c r="G15" s="64"/>
      <c r="H15" s="64"/>
      <c r="I15" s="64"/>
      <c r="J15" s="63"/>
      <c r="K15" s="160"/>
      <c r="L15" s="162"/>
      <c r="M15" s="88"/>
      <c r="N15" s="88"/>
      <c r="O15" s="88"/>
      <c r="P15" s="88"/>
      <c r="Q15" s="88"/>
      <c r="R15" s="11"/>
      <c r="S15" s="9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F15" s="65"/>
      <c r="AG15" s="65"/>
      <c r="AH15" s="65"/>
      <c r="AI15" s="65"/>
      <c r="AJ15" s="65"/>
      <c r="AK15" s="65"/>
      <c r="AL15" s="65"/>
      <c r="AM15" s="65"/>
      <c r="AO15" s="64"/>
    </row>
    <row r="16" spans="2:41" ht="20.100000000000001" customHeight="1">
      <c r="B16" s="2" t="s">
        <v>66</v>
      </c>
      <c r="C16" s="6">
        <v>350</v>
      </c>
      <c r="D16" s="63"/>
      <c r="E16" s="63"/>
      <c r="F16" s="63"/>
      <c r="G16" s="67">
        <f>IF(C14="Zebuíno",G14,IF(C14="Cruzado",IF(C15="Corte",H14,I14)))</f>
        <v>10.626643423300887</v>
      </c>
      <c r="H16" s="64"/>
      <c r="I16" s="64"/>
      <c r="J16" s="63"/>
      <c r="K16" s="160"/>
      <c r="L16" s="162"/>
      <c r="M16" s="88"/>
      <c r="N16" s="88"/>
      <c r="O16" s="88"/>
      <c r="P16" s="88"/>
      <c r="Q16" s="88"/>
      <c r="R16" s="11"/>
      <c r="S16" s="9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F16" s="65"/>
      <c r="AG16" s="65"/>
      <c r="AH16" s="65"/>
      <c r="AI16" s="65"/>
      <c r="AJ16" s="65"/>
      <c r="AK16" s="65"/>
      <c r="AL16" s="65"/>
      <c r="AM16" s="65"/>
      <c r="AO16" s="64"/>
    </row>
    <row r="17" spans="1:41" ht="20.100000000000001" customHeight="1">
      <c r="B17" s="2" t="s">
        <v>67</v>
      </c>
      <c r="C17" s="6">
        <v>500</v>
      </c>
      <c r="D17" s="161"/>
      <c r="E17" s="160"/>
      <c r="F17" s="160"/>
      <c r="G17" s="160"/>
      <c r="H17" s="161"/>
      <c r="I17" s="161"/>
      <c r="J17" s="163"/>
      <c r="K17" s="163"/>
      <c r="L17" s="164"/>
      <c r="M17" s="123"/>
      <c r="O17" s="118"/>
      <c r="P17" s="118"/>
      <c r="Q17" s="118"/>
      <c r="R17" s="9"/>
      <c r="S17" s="9"/>
      <c r="U17" s="65"/>
      <c r="V17" s="65"/>
      <c r="W17" s="65"/>
      <c r="X17" s="65"/>
      <c r="Y17" s="65" t="s">
        <v>6</v>
      </c>
      <c r="Z17" s="65"/>
      <c r="AA17" s="65"/>
      <c r="AB17" s="65"/>
      <c r="AC17" s="65"/>
      <c r="AD17" s="65"/>
      <c r="AF17" s="65"/>
      <c r="AG17" s="65"/>
      <c r="AH17" s="65"/>
      <c r="AI17" s="65"/>
      <c r="AJ17" s="65"/>
      <c r="AK17" s="65"/>
      <c r="AL17" s="65"/>
      <c r="AM17" s="65"/>
      <c r="AO17" s="64"/>
    </row>
    <row r="18" spans="1:41" ht="20.100000000000001" customHeight="1">
      <c r="B18" s="3" t="s">
        <v>3</v>
      </c>
      <c r="C18" s="18">
        <f>(C17+C16)/2</f>
        <v>425</v>
      </c>
      <c r="D18" s="161"/>
      <c r="E18" s="160"/>
      <c r="F18" s="160"/>
      <c r="G18" s="160"/>
      <c r="H18" s="161"/>
      <c r="I18" s="161"/>
      <c r="J18" s="163"/>
      <c r="K18" s="163"/>
      <c r="L18" s="164"/>
      <c r="M18" s="123"/>
      <c r="O18" s="118"/>
      <c r="P18" s="118"/>
      <c r="Q18" s="118"/>
      <c r="R18" s="9"/>
      <c r="S18" s="9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F18" s="65"/>
      <c r="AG18" s="65"/>
      <c r="AH18" s="65"/>
      <c r="AI18" s="65"/>
      <c r="AJ18" s="65"/>
      <c r="AK18" s="65"/>
      <c r="AL18" s="65"/>
      <c r="AM18" s="65"/>
      <c r="AO18" s="64"/>
    </row>
    <row r="19" spans="1:41" ht="20.100000000000001" customHeight="1">
      <c r="B19" s="53" t="s">
        <v>68</v>
      </c>
      <c r="C19" s="62">
        <v>1.95</v>
      </c>
      <c r="D19" s="161"/>
      <c r="E19" s="165" t="str">
        <f>IF(C25="Volumoso","",IF(C26="Volumoso","",IF(C27="Volumoso","",IF(C28="Volumoso","",IF(C29="Volumoso","",IF(C30="Volumoso","",IF(C31="Volumoso","",IF(C32="Volumoso","",IF(C33="Volumoso","",IF(C34="Volumoso","","Erro 01: Você deve adicionar pelo menos um alimento volumoso."))))))))))</f>
        <v/>
      </c>
      <c r="F19" s="165"/>
      <c r="G19" s="165"/>
      <c r="H19" s="165"/>
      <c r="I19" s="165"/>
      <c r="J19" s="165"/>
      <c r="K19" s="165"/>
      <c r="L19" s="165"/>
      <c r="M19" s="123"/>
      <c r="O19" s="118"/>
      <c r="P19" s="118"/>
      <c r="Q19" s="118"/>
      <c r="R19" s="9"/>
      <c r="S19" s="9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F19" s="65"/>
      <c r="AG19" s="65"/>
      <c r="AH19" s="65"/>
      <c r="AI19" s="65"/>
      <c r="AJ19" s="65"/>
      <c r="AK19" s="65"/>
      <c r="AL19" s="65"/>
      <c r="AM19" s="65"/>
      <c r="AO19" s="64"/>
    </row>
    <row r="20" spans="1:41" ht="20.100000000000001" customHeight="1">
      <c r="B20" s="19" t="s">
        <v>4</v>
      </c>
      <c r="C20" s="20">
        <f>IF(C13="BR-CORTE 2010",E14,G16)</f>
        <v>10.626643423300887</v>
      </c>
      <c r="D20" s="161"/>
      <c r="E20" s="165"/>
      <c r="F20" s="165"/>
      <c r="G20" s="165"/>
      <c r="H20" s="165"/>
      <c r="I20" s="165"/>
      <c r="J20" s="165"/>
      <c r="K20" s="165"/>
      <c r="L20" s="165"/>
      <c r="M20" s="123"/>
      <c r="O20" s="118"/>
      <c r="P20" s="118"/>
      <c r="Q20" s="118"/>
      <c r="R20" s="9"/>
      <c r="S20" s="9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F20" s="65"/>
      <c r="AG20" s="65"/>
      <c r="AH20" s="65"/>
      <c r="AI20" s="65"/>
      <c r="AJ20" s="65"/>
      <c r="AK20" s="65"/>
      <c r="AL20" s="65"/>
      <c r="AM20" s="65"/>
      <c r="AO20" s="64"/>
    </row>
    <row r="21" spans="1:41" ht="20.100000000000001" customHeight="1" thickBot="1">
      <c r="B21" s="21" t="s">
        <v>5</v>
      </c>
      <c r="C21" s="22">
        <f>(C20*1000)/C18</f>
        <v>25.00386687835503</v>
      </c>
      <c r="D21" s="166" t="str">
        <f>IFERROR(IF(C21&lt;=0,"Erro: Confira os dados do animal.",""),"")</f>
        <v/>
      </c>
      <c r="E21" s="167"/>
      <c r="F21" s="167"/>
      <c r="G21" s="167"/>
      <c r="H21" s="167"/>
      <c r="I21" s="167"/>
      <c r="J21" s="167"/>
      <c r="K21" s="167"/>
      <c r="L21" s="167"/>
      <c r="M21" s="123"/>
      <c r="O21" s="118"/>
      <c r="P21" s="118"/>
      <c r="Q21" s="118"/>
      <c r="R21" s="9"/>
      <c r="S21" s="9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F21" s="65"/>
      <c r="AG21" s="65"/>
      <c r="AH21" s="65"/>
      <c r="AI21" s="65"/>
      <c r="AJ21" s="65"/>
      <c r="AK21" s="65"/>
      <c r="AL21" s="65"/>
      <c r="AM21" s="65"/>
      <c r="AO21" s="64"/>
    </row>
    <row r="22" spans="1:41" ht="3" customHeight="1">
      <c r="B22" s="23"/>
      <c r="C22" s="24"/>
      <c r="D22" s="122"/>
      <c r="F22" s="122"/>
      <c r="G22" s="122"/>
      <c r="H22" s="122"/>
      <c r="I22" s="122"/>
      <c r="J22" s="122"/>
      <c r="K22" s="122"/>
      <c r="L22" s="122"/>
      <c r="M22" s="123"/>
      <c r="O22" s="118"/>
      <c r="P22" s="118"/>
      <c r="Q22" s="118"/>
      <c r="R22" s="9"/>
      <c r="S22" s="9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F22" s="65"/>
      <c r="AG22" s="65"/>
      <c r="AH22" s="65"/>
      <c r="AI22" s="65"/>
      <c r="AJ22" s="65"/>
      <c r="AK22" s="65"/>
      <c r="AL22" s="65"/>
      <c r="AM22" s="65"/>
      <c r="AO22" s="64"/>
    </row>
    <row r="23" spans="1:41" ht="3" customHeight="1">
      <c r="B23" s="25"/>
      <c r="D23" s="122"/>
      <c r="E23" s="122"/>
      <c r="F23" s="122"/>
      <c r="G23" s="122"/>
      <c r="H23" s="122"/>
      <c r="I23" s="122"/>
      <c r="J23" s="122"/>
      <c r="K23" s="122"/>
      <c r="L23" s="122"/>
      <c r="M23" s="123"/>
      <c r="O23" s="118"/>
      <c r="P23" s="118"/>
      <c r="Q23" s="118"/>
      <c r="R23" s="9"/>
      <c r="S23" s="9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F23" s="65"/>
      <c r="AG23" s="65"/>
      <c r="AH23" s="65"/>
      <c r="AI23" s="65"/>
      <c r="AJ23" s="65"/>
      <c r="AK23" s="65"/>
      <c r="AL23" s="65"/>
      <c r="AM23" s="65"/>
      <c r="AO23" s="64"/>
    </row>
    <row r="24" spans="1:41" ht="20.100000000000001" customHeight="1">
      <c r="B24" s="14" t="s">
        <v>7</v>
      </c>
      <c r="C24" s="9" t="s">
        <v>8</v>
      </c>
      <c r="D24" s="118" t="s">
        <v>9</v>
      </c>
      <c r="E24" s="118" t="s">
        <v>10</v>
      </c>
      <c r="F24" s="118" t="s">
        <v>11</v>
      </c>
      <c r="G24" s="118" t="s">
        <v>12</v>
      </c>
      <c r="H24" s="118" t="s">
        <v>13</v>
      </c>
      <c r="I24" s="118" t="s">
        <v>14</v>
      </c>
      <c r="J24" s="118" t="s">
        <v>15</v>
      </c>
      <c r="K24" s="118" t="s">
        <v>16</v>
      </c>
      <c r="L24" s="118" t="s">
        <v>17</v>
      </c>
      <c r="M24" s="118" t="s">
        <v>18</v>
      </c>
      <c r="N24" s="118" t="s">
        <v>19</v>
      </c>
      <c r="O24" s="118" t="s">
        <v>20</v>
      </c>
      <c r="P24" s="118" t="s">
        <v>21</v>
      </c>
      <c r="Q24" s="118" t="s">
        <v>22</v>
      </c>
      <c r="U24" s="63" t="s">
        <v>23</v>
      </c>
      <c r="V24" s="63" t="s">
        <v>24</v>
      </c>
      <c r="X24" s="65"/>
      <c r="Y24" s="66" t="s">
        <v>7</v>
      </c>
      <c r="Z24" s="65" t="s">
        <v>8</v>
      </c>
      <c r="AA24" s="65" t="s">
        <v>9</v>
      </c>
      <c r="AB24" s="65" t="s">
        <v>25</v>
      </c>
      <c r="AC24" s="65" t="s">
        <v>26</v>
      </c>
      <c r="AD24" s="65" t="s">
        <v>27</v>
      </c>
      <c r="AE24" s="65" t="s">
        <v>28</v>
      </c>
      <c r="AF24" s="65" t="s">
        <v>29</v>
      </c>
      <c r="AG24" s="65" t="s">
        <v>30</v>
      </c>
      <c r="AH24" s="65" t="s">
        <v>31</v>
      </c>
      <c r="AI24" s="65" t="s">
        <v>32</v>
      </c>
      <c r="AJ24" s="65" t="s">
        <v>33</v>
      </c>
      <c r="AK24" s="65" t="s">
        <v>34</v>
      </c>
      <c r="AL24" s="65" t="s">
        <v>35</v>
      </c>
      <c r="AM24" s="65" t="s">
        <v>36</v>
      </c>
      <c r="AN24" s="63" t="s">
        <v>37</v>
      </c>
      <c r="AO24" s="64"/>
    </row>
    <row r="25" spans="1:41" ht="20.100000000000001" customHeight="1">
      <c r="A25" s="42">
        <v>1</v>
      </c>
      <c r="B25" s="170"/>
      <c r="C25" s="1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78">
        <f>F25-J25-K25-(G25-I25+H25)</f>
        <v>0</v>
      </c>
      <c r="O25" s="57"/>
      <c r="P25" s="57"/>
      <c r="Q25" s="169"/>
      <c r="U25" s="63">
        <v>0.95</v>
      </c>
      <c r="V25" s="67">
        <f>AH39</f>
        <v>0</v>
      </c>
      <c r="X25" s="63">
        <v>1</v>
      </c>
      <c r="Y25" s="68">
        <f>B25</f>
        <v>0</v>
      </c>
      <c r="Z25" s="69">
        <f>C25</f>
        <v>0</v>
      </c>
      <c r="AA25" s="69">
        <f>IF($C25="Volumoso",D25,0)</f>
        <v>0</v>
      </c>
      <c r="AB25" s="69">
        <f t="shared" ref="AB25:AM34" si="0">IF($C25="Volumoso",E25,0)</f>
        <v>0</v>
      </c>
      <c r="AC25" s="69">
        <f t="shared" si="0"/>
        <v>0</v>
      </c>
      <c r="AD25" s="69">
        <f t="shared" si="0"/>
        <v>0</v>
      </c>
      <c r="AE25" s="69">
        <f t="shared" si="0"/>
        <v>0</v>
      </c>
      <c r="AF25" s="69">
        <f t="shared" si="0"/>
        <v>0</v>
      </c>
      <c r="AG25" s="69">
        <f t="shared" si="0"/>
        <v>0</v>
      </c>
      <c r="AH25" s="69">
        <f t="shared" si="0"/>
        <v>0</v>
      </c>
      <c r="AI25" s="69">
        <f t="shared" si="0"/>
        <v>0</v>
      </c>
      <c r="AJ25" s="69">
        <f t="shared" si="0"/>
        <v>0</v>
      </c>
      <c r="AK25" s="69">
        <f t="shared" si="0"/>
        <v>0</v>
      </c>
      <c r="AL25" s="69">
        <f t="shared" si="0"/>
        <v>0</v>
      </c>
      <c r="AM25" s="69">
        <f t="shared" si="0"/>
        <v>0</v>
      </c>
      <c r="AN25" s="63">
        <f>IF(AA25=0,0,AA25/(AB25/100))</f>
        <v>0</v>
      </c>
      <c r="AO25" s="64"/>
    </row>
    <row r="26" spans="1:41" ht="20.100000000000001" customHeight="1">
      <c r="A26" s="42">
        <v>2</v>
      </c>
      <c r="B26" s="170"/>
      <c r="C26" s="1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78">
        <f t="shared" ref="N26:N34" si="1">F26-J26-K26-(G26-I26+H26)</f>
        <v>0</v>
      </c>
      <c r="O26" s="57"/>
      <c r="P26" s="57"/>
      <c r="Q26" s="169"/>
      <c r="W26" s="67"/>
      <c r="X26" s="63">
        <v>2</v>
      </c>
      <c r="Y26" s="68">
        <f t="shared" ref="Y26:Z34" si="2">B26</f>
        <v>0</v>
      </c>
      <c r="Z26" s="69">
        <f t="shared" si="2"/>
        <v>0</v>
      </c>
      <c r="AA26" s="69">
        <f>IF($C26="Volumoso",D26,0)</f>
        <v>0</v>
      </c>
      <c r="AB26" s="69">
        <f t="shared" si="0"/>
        <v>0</v>
      </c>
      <c r="AC26" s="69">
        <f t="shared" si="0"/>
        <v>0</v>
      </c>
      <c r="AD26" s="69">
        <f t="shared" si="0"/>
        <v>0</v>
      </c>
      <c r="AE26" s="69">
        <f t="shared" si="0"/>
        <v>0</v>
      </c>
      <c r="AF26" s="69">
        <f t="shared" si="0"/>
        <v>0</v>
      </c>
      <c r="AG26" s="69">
        <f t="shared" si="0"/>
        <v>0</v>
      </c>
      <c r="AH26" s="69">
        <f t="shared" si="0"/>
        <v>0</v>
      </c>
      <c r="AI26" s="69">
        <f t="shared" si="0"/>
        <v>0</v>
      </c>
      <c r="AJ26" s="69">
        <f t="shared" si="0"/>
        <v>0</v>
      </c>
      <c r="AK26" s="69">
        <f t="shared" si="0"/>
        <v>0</v>
      </c>
      <c r="AL26" s="69">
        <f t="shared" si="0"/>
        <v>0</v>
      </c>
      <c r="AM26" s="69">
        <f t="shared" si="0"/>
        <v>0</v>
      </c>
      <c r="AN26" s="63">
        <f t="shared" ref="AN26:AN34" si="3">IF(AA26=0,0,AA26/(AB26/100))</f>
        <v>0</v>
      </c>
      <c r="AO26" s="64"/>
    </row>
    <row r="27" spans="1:41" ht="20.100000000000001" customHeight="1">
      <c r="A27" s="42">
        <v>3</v>
      </c>
      <c r="B27" s="170"/>
      <c r="C27" s="1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78">
        <f t="shared" si="1"/>
        <v>0</v>
      </c>
      <c r="O27" s="57"/>
      <c r="P27" s="57"/>
      <c r="Q27" s="169"/>
      <c r="W27" s="67"/>
      <c r="X27" s="63">
        <v>3</v>
      </c>
      <c r="Y27" s="68">
        <f t="shared" si="2"/>
        <v>0</v>
      </c>
      <c r="Z27" s="69">
        <f t="shared" si="2"/>
        <v>0</v>
      </c>
      <c r="AA27" s="69">
        <f t="shared" ref="AA27:AA34" si="4">IF($C27="Volumoso",D27,0)</f>
        <v>0</v>
      </c>
      <c r="AB27" s="69">
        <f t="shared" si="0"/>
        <v>0</v>
      </c>
      <c r="AC27" s="69">
        <f t="shared" si="0"/>
        <v>0</v>
      </c>
      <c r="AD27" s="69">
        <f t="shared" si="0"/>
        <v>0</v>
      </c>
      <c r="AE27" s="69">
        <f t="shared" si="0"/>
        <v>0</v>
      </c>
      <c r="AF27" s="69">
        <f t="shared" si="0"/>
        <v>0</v>
      </c>
      <c r="AG27" s="69">
        <f t="shared" si="0"/>
        <v>0</v>
      </c>
      <c r="AH27" s="69">
        <f t="shared" si="0"/>
        <v>0</v>
      </c>
      <c r="AI27" s="69">
        <f t="shared" si="0"/>
        <v>0</v>
      </c>
      <c r="AJ27" s="69">
        <f t="shared" si="0"/>
        <v>0</v>
      </c>
      <c r="AK27" s="69">
        <f t="shared" si="0"/>
        <v>0</v>
      </c>
      <c r="AL27" s="69">
        <f t="shared" si="0"/>
        <v>0</v>
      </c>
      <c r="AM27" s="69">
        <f t="shared" si="0"/>
        <v>0</v>
      </c>
      <c r="AN27" s="63">
        <f t="shared" si="3"/>
        <v>0</v>
      </c>
    </row>
    <row r="28" spans="1:41" ht="20.100000000000001" customHeight="1">
      <c r="A28" s="42">
        <v>4</v>
      </c>
      <c r="B28" s="170"/>
      <c r="C28" s="1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78">
        <f t="shared" si="1"/>
        <v>0</v>
      </c>
      <c r="O28" s="57"/>
      <c r="P28" s="57"/>
      <c r="Q28" s="169"/>
      <c r="W28" s="67"/>
      <c r="X28" s="63">
        <v>4</v>
      </c>
      <c r="Y28" s="68">
        <f t="shared" si="2"/>
        <v>0</v>
      </c>
      <c r="Z28" s="69">
        <f t="shared" si="2"/>
        <v>0</v>
      </c>
      <c r="AA28" s="69">
        <f t="shared" si="4"/>
        <v>0</v>
      </c>
      <c r="AB28" s="69">
        <f t="shared" si="0"/>
        <v>0</v>
      </c>
      <c r="AC28" s="69">
        <f t="shared" si="0"/>
        <v>0</v>
      </c>
      <c r="AD28" s="69">
        <f t="shared" si="0"/>
        <v>0</v>
      </c>
      <c r="AE28" s="69">
        <f t="shared" si="0"/>
        <v>0</v>
      </c>
      <c r="AF28" s="69">
        <f t="shared" si="0"/>
        <v>0</v>
      </c>
      <c r="AG28" s="69">
        <f t="shared" si="0"/>
        <v>0</v>
      </c>
      <c r="AH28" s="69">
        <f t="shared" si="0"/>
        <v>0</v>
      </c>
      <c r="AI28" s="69">
        <f t="shared" si="0"/>
        <v>0</v>
      </c>
      <c r="AJ28" s="69">
        <f t="shared" si="0"/>
        <v>0</v>
      </c>
      <c r="AK28" s="69">
        <f t="shared" si="0"/>
        <v>0</v>
      </c>
      <c r="AL28" s="69">
        <f t="shared" si="0"/>
        <v>0</v>
      </c>
      <c r="AM28" s="69">
        <f t="shared" si="0"/>
        <v>0</v>
      </c>
      <c r="AN28" s="63">
        <f t="shared" si="3"/>
        <v>0</v>
      </c>
    </row>
    <row r="29" spans="1:41" ht="20.100000000000001" customHeight="1">
      <c r="A29" s="42">
        <v>5</v>
      </c>
      <c r="B29" s="170"/>
      <c r="C29" s="1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78">
        <f t="shared" si="1"/>
        <v>0</v>
      </c>
      <c r="O29" s="57"/>
      <c r="P29" s="57"/>
      <c r="Q29" s="169"/>
      <c r="W29" s="67"/>
      <c r="X29" s="63">
        <v>5</v>
      </c>
      <c r="Y29" s="68">
        <f t="shared" si="2"/>
        <v>0</v>
      </c>
      <c r="Z29" s="69">
        <f t="shared" si="2"/>
        <v>0</v>
      </c>
      <c r="AA29" s="69">
        <f t="shared" si="4"/>
        <v>0</v>
      </c>
      <c r="AB29" s="69">
        <f t="shared" si="0"/>
        <v>0</v>
      </c>
      <c r="AC29" s="69">
        <f t="shared" si="0"/>
        <v>0</v>
      </c>
      <c r="AD29" s="69">
        <f t="shared" si="0"/>
        <v>0</v>
      </c>
      <c r="AE29" s="69">
        <f t="shared" si="0"/>
        <v>0</v>
      </c>
      <c r="AF29" s="69">
        <f t="shared" si="0"/>
        <v>0</v>
      </c>
      <c r="AG29" s="69">
        <f t="shared" si="0"/>
        <v>0</v>
      </c>
      <c r="AH29" s="69">
        <f t="shared" si="0"/>
        <v>0</v>
      </c>
      <c r="AI29" s="69">
        <f t="shared" si="0"/>
        <v>0</v>
      </c>
      <c r="AJ29" s="69">
        <f t="shared" si="0"/>
        <v>0</v>
      </c>
      <c r="AK29" s="69">
        <f t="shared" si="0"/>
        <v>0</v>
      </c>
      <c r="AL29" s="69">
        <f t="shared" si="0"/>
        <v>0</v>
      </c>
      <c r="AM29" s="69">
        <f t="shared" si="0"/>
        <v>0</v>
      </c>
      <c r="AN29" s="63">
        <f t="shared" si="3"/>
        <v>0</v>
      </c>
    </row>
    <row r="30" spans="1:41" ht="20.100000000000001" customHeight="1">
      <c r="A30" s="42">
        <v>6</v>
      </c>
      <c r="B30" s="170" t="s">
        <v>116</v>
      </c>
      <c r="C30" s="1" t="s">
        <v>1</v>
      </c>
      <c r="D30" s="57">
        <v>50</v>
      </c>
      <c r="E30" s="57">
        <v>30.92</v>
      </c>
      <c r="F30" s="57">
        <v>94.74</v>
      </c>
      <c r="G30" s="57">
        <v>7.26</v>
      </c>
      <c r="H30" s="57">
        <v>0</v>
      </c>
      <c r="I30" s="57">
        <v>0</v>
      </c>
      <c r="J30" s="57">
        <v>3.16</v>
      </c>
      <c r="K30" s="57">
        <v>51.77</v>
      </c>
      <c r="L30" s="57">
        <v>23.79</v>
      </c>
      <c r="M30" s="57">
        <v>4.97</v>
      </c>
      <c r="N30" s="78">
        <f t="shared" si="1"/>
        <v>32.549999999999997</v>
      </c>
      <c r="O30" s="57">
        <v>1.1399999999999999</v>
      </c>
      <c r="P30" s="57">
        <v>0.56999999999999995</v>
      </c>
      <c r="Q30" s="169"/>
      <c r="W30" s="67"/>
      <c r="X30" s="63">
        <v>6</v>
      </c>
      <c r="Y30" s="68" t="str">
        <f t="shared" si="2"/>
        <v>Silagem de milho</v>
      </c>
      <c r="Z30" s="69" t="str">
        <f t="shared" si="2"/>
        <v>Volumoso</v>
      </c>
      <c r="AA30" s="69">
        <f t="shared" si="4"/>
        <v>50</v>
      </c>
      <c r="AB30" s="69">
        <f t="shared" si="0"/>
        <v>30.92</v>
      </c>
      <c r="AC30" s="69">
        <f t="shared" si="0"/>
        <v>94.74</v>
      </c>
      <c r="AD30" s="69">
        <f t="shared" si="0"/>
        <v>7.26</v>
      </c>
      <c r="AE30" s="69">
        <f t="shared" si="0"/>
        <v>0</v>
      </c>
      <c r="AF30" s="69">
        <f t="shared" si="0"/>
        <v>0</v>
      </c>
      <c r="AG30" s="69">
        <f t="shared" si="0"/>
        <v>3.16</v>
      </c>
      <c r="AH30" s="69">
        <f t="shared" si="0"/>
        <v>51.77</v>
      </c>
      <c r="AI30" s="69">
        <f t="shared" si="0"/>
        <v>23.79</v>
      </c>
      <c r="AJ30" s="69">
        <f t="shared" si="0"/>
        <v>4.97</v>
      </c>
      <c r="AK30" s="69">
        <f t="shared" si="0"/>
        <v>32.549999999999997</v>
      </c>
      <c r="AL30" s="69">
        <f t="shared" si="0"/>
        <v>1.1399999999999999</v>
      </c>
      <c r="AM30" s="69">
        <f t="shared" si="0"/>
        <v>0.56999999999999995</v>
      </c>
      <c r="AN30" s="63">
        <f t="shared" si="3"/>
        <v>161.70763260025871</v>
      </c>
    </row>
    <row r="31" spans="1:41" ht="20.100000000000001" customHeight="1">
      <c r="A31" s="42">
        <v>7</v>
      </c>
      <c r="B31" s="170" t="s">
        <v>117</v>
      </c>
      <c r="C31" s="1" t="s">
        <v>0</v>
      </c>
      <c r="D31" s="57">
        <f>86.43*50/100</f>
        <v>43.215000000000003</v>
      </c>
      <c r="E31" s="57">
        <v>87.64</v>
      </c>
      <c r="F31" s="57">
        <v>97.6</v>
      </c>
      <c r="G31" s="57">
        <v>9.11</v>
      </c>
      <c r="H31" s="57">
        <v>0</v>
      </c>
      <c r="I31" s="57">
        <v>0</v>
      </c>
      <c r="J31" s="57">
        <v>4.07</v>
      </c>
      <c r="K31" s="57">
        <v>10.19</v>
      </c>
      <c r="L31" s="57">
        <v>4.18</v>
      </c>
      <c r="M31" s="57">
        <v>1.1599999999999999</v>
      </c>
      <c r="N31" s="78">
        <f t="shared" si="1"/>
        <v>74.23</v>
      </c>
      <c r="O31" s="57">
        <v>0.87</v>
      </c>
      <c r="P31" s="57">
        <v>0.35</v>
      </c>
      <c r="Q31" s="169">
        <v>0</v>
      </c>
      <c r="W31" s="67"/>
      <c r="X31" s="63">
        <v>7</v>
      </c>
      <c r="Y31" s="68" t="str">
        <f t="shared" si="2"/>
        <v>Milho</v>
      </c>
      <c r="Z31" s="69" t="str">
        <f t="shared" si="2"/>
        <v>Concentrado</v>
      </c>
      <c r="AA31" s="69">
        <f t="shared" si="4"/>
        <v>0</v>
      </c>
      <c r="AB31" s="69">
        <f t="shared" si="0"/>
        <v>0</v>
      </c>
      <c r="AC31" s="69">
        <f t="shared" si="0"/>
        <v>0</v>
      </c>
      <c r="AD31" s="69">
        <f t="shared" si="0"/>
        <v>0</v>
      </c>
      <c r="AE31" s="69">
        <f t="shared" si="0"/>
        <v>0</v>
      </c>
      <c r="AF31" s="69">
        <f t="shared" si="0"/>
        <v>0</v>
      </c>
      <c r="AG31" s="69">
        <f t="shared" si="0"/>
        <v>0</v>
      </c>
      <c r="AH31" s="69">
        <f t="shared" si="0"/>
        <v>0</v>
      </c>
      <c r="AI31" s="69">
        <f t="shared" si="0"/>
        <v>0</v>
      </c>
      <c r="AJ31" s="69">
        <f t="shared" si="0"/>
        <v>0</v>
      </c>
      <c r="AK31" s="69">
        <f t="shared" si="0"/>
        <v>0</v>
      </c>
      <c r="AL31" s="69">
        <f t="shared" si="0"/>
        <v>0</v>
      </c>
      <c r="AM31" s="69">
        <f t="shared" si="0"/>
        <v>0</v>
      </c>
      <c r="AN31" s="63">
        <f t="shared" si="3"/>
        <v>0</v>
      </c>
    </row>
    <row r="32" spans="1:41" ht="20.100000000000001" customHeight="1">
      <c r="A32" s="42">
        <v>8</v>
      </c>
      <c r="B32" s="170" t="s">
        <v>118</v>
      </c>
      <c r="C32" s="1" t="s">
        <v>0</v>
      </c>
      <c r="D32" s="57">
        <f>10.07*50/100</f>
        <v>5.0350000000000001</v>
      </c>
      <c r="E32" s="57">
        <v>88.61</v>
      </c>
      <c r="F32" s="57">
        <v>92.85</v>
      </c>
      <c r="G32" s="57">
        <v>48.78</v>
      </c>
      <c r="H32" s="57">
        <v>0</v>
      </c>
      <c r="I32" s="57">
        <v>0</v>
      </c>
      <c r="J32" s="57">
        <v>1.71</v>
      </c>
      <c r="K32" s="57">
        <v>10.72</v>
      </c>
      <c r="L32" s="57">
        <v>3.75</v>
      </c>
      <c r="M32" s="57">
        <v>1.33</v>
      </c>
      <c r="N32" s="78">
        <f t="shared" si="1"/>
        <v>31.64</v>
      </c>
      <c r="O32" s="57">
        <v>2.38</v>
      </c>
      <c r="P32" s="57">
        <v>1.34</v>
      </c>
      <c r="Q32" s="169">
        <v>0</v>
      </c>
      <c r="W32" s="67"/>
      <c r="X32" s="63">
        <v>8</v>
      </c>
      <c r="Y32" s="68" t="str">
        <f t="shared" si="2"/>
        <v>F. Soja</v>
      </c>
      <c r="Z32" s="69" t="str">
        <f t="shared" si="2"/>
        <v>Concentrado</v>
      </c>
      <c r="AA32" s="69">
        <f t="shared" si="4"/>
        <v>0</v>
      </c>
      <c r="AB32" s="69">
        <f t="shared" si="0"/>
        <v>0</v>
      </c>
      <c r="AC32" s="69">
        <f t="shared" si="0"/>
        <v>0</v>
      </c>
      <c r="AD32" s="69">
        <f t="shared" si="0"/>
        <v>0</v>
      </c>
      <c r="AE32" s="69">
        <f t="shared" si="0"/>
        <v>0</v>
      </c>
      <c r="AF32" s="69">
        <f t="shared" si="0"/>
        <v>0</v>
      </c>
      <c r="AG32" s="69">
        <f t="shared" si="0"/>
        <v>0</v>
      </c>
      <c r="AH32" s="69">
        <f t="shared" si="0"/>
        <v>0</v>
      </c>
      <c r="AI32" s="69">
        <f t="shared" si="0"/>
        <v>0</v>
      </c>
      <c r="AJ32" s="69">
        <f t="shared" si="0"/>
        <v>0</v>
      </c>
      <c r="AK32" s="69">
        <f t="shared" si="0"/>
        <v>0</v>
      </c>
      <c r="AL32" s="69">
        <f t="shared" si="0"/>
        <v>0</v>
      </c>
      <c r="AM32" s="69">
        <f t="shared" si="0"/>
        <v>0</v>
      </c>
      <c r="AN32" s="63">
        <f t="shared" si="3"/>
        <v>0</v>
      </c>
    </row>
    <row r="33" spans="1:41" ht="20.100000000000001" customHeight="1">
      <c r="A33" s="42">
        <v>9</v>
      </c>
      <c r="B33" s="52" t="s">
        <v>95</v>
      </c>
      <c r="C33" s="43" t="s">
        <v>0</v>
      </c>
      <c r="D33" s="124">
        <f>1.5*50/100</f>
        <v>0.75</v>
      </c>
      <c r="E33" s="125">
        <v>100</v>
      </c>
      <c r="F33" s="125">
        <v>100</v>
      </c>
      <c r="G33" s="125">
        <v>260</v>
      </c>
      <c r="H33" s="125">
        <v>100</v>
      </c>
      <c r="I33" s="125">
        <v>260</v>
      </c>
      <c r="J33" s="138" t="s">
        <v>97</v>
      </c>
      <c r="K33" s="138" t="s">
        <v>97</v>
      </c>
      <c r="L33" s="138" t="s">
        <v>97</v>
      </c>
      <c r="M33" s="138" t="s">
        <v>97</v>
      </c>
      <c r="N33" s="138" t="s">
        <v>97</v>
      </c>
      <c r="O33" s="138" t="s">
        <v>97</v>
      </c>
      <c r="P33" s="138" t="s">
        <v>97</v>
      </c>
      <c r="Q33" s="138" t="s">
        <v>97</v>
      </c>
      <c r="W33" s="67"/>
      <c r="X33" s="63">
        <v>9</v>
      </c>
      <c r="Y33" s="68" t="str">
        <f t="shared" si="2"/>
        <v>Ureia/SA</v>
      </c>
      <c r="Z33" s="69" t="str">
        <f t="shared" si="2"/>
        <v>Concentrado</v>
      </c>
      <c r="AA33" s="69">
        <f t="shared" si="4"/>
        <v>0</v>
      </c>
      <c r="AB33" s="69">
        <f t="shared" si="0"/>
        <v>0</v>
      </c>
      <c r="AC33" s="69">
        <f t="shared" si="0"/>
        <v>0</v>
      </c>
      <c r="AD33" s="69">
        <f t="shared" si="0"/>
        <v>0</v>
      </c>
      <c r="AE33" s="69">
        <f t="shared" si="0"/>
        <v>0</v>
      </c>
      <c r="AF33" s="69">
        <f t="shared" si="0"/>
        <v>0</v>
      </c>
      <c r="AG33" s="69">
        <f>IF($C33="Volumoso",J39,0)</f>
        <v>0</v>
      </c>
      <c r="AH33" s="69">
        <f>IF($C33="Volumoso",K39,0)</f>
        <v>0</v>
      </c>
      <c r="AI33" s="69">
        <f>IF($C33="Volumoso",L39,0)</f>
        <v>0</v>
      </c>
      <c r="AJ33" s="69">
        <f>IF($C33="Volumoso",M39,0)</f>
        <v>0</v>
      </c>
      <c r="AK33" s="69">
        <f>IF($C33="Volumoso",N39,0)</f>
        <v>0</v>
      </c>
      <c r="AL33" s="69">
        <f>IF($C33="Volumoso",O39,0)</f>
        <v>0</v>
      </c>
      <c r="AM33" s="69">
        <f>IF($C33="Volumoso",P39,0)</f>
        <v>0</v>
      </c>
      <c r="AN33" s="63">
        <f t="shared" si="3"/>
        <v>0</v>
      </c>
    </row>
    <row r="34" spans="1:41" ht="20.100000000000001" customHeight="1">
      <c r="A34" s="42">
        <v>10</v>
      </c>
      <c r="B34" s="52" t="s">
        <v>96</v>
      </c>
      <c r="C34" s="7" t="s">
        <v>0</v>
      </c>
      <c r="D34" s="124">
        <f>2*50/100</f>
        <v>1</v>
      </c>
      <c r="E34" s="125">
        <v>100</v>
      </c>
      <c r="F34" s="138" t="s">
        <v>97</v>
      </c>
      <c r="G34" s="138" t="s">
        <v>97</v>
      </c>
      <c r="H34" s="138" t="s">
        <v>97</v>
      </c>
      <c r="I34" s="138" t="s">
        <v>97</v>
      </c>
      <c r="J34" s="138" t="s">
        <v>97</v>
      </c>
      <c r="K34" s="138" t="s">
        <v>97</v>
      </c>
      <c r="L34" s="138" t="s">
        <v>97</v>
      </c>
      <c r="M34" s="138" t="s">
        <v>97</v>
      </c>
      <c r="N34" s="138" t="s">
        <v>97</v>
      </c>
      <c r="O34" s="138" t="s">
        <v>97</v>
      </c>
      <c r="P34" s="138" t="s">
        <v>97</v>
      </c>
      <c r="Q34" s="138" t="s">
        <v>97</v>
      </c>
      <c r="W34" s="67"/>
      <c r="X34" s="63">
        <v>10</v>
      </c>
      <c r="Y34" s="68" t="str">
        <f t="shared" si="2"/>
        <v>Mistura mineral</v>
      </c>
      <c r="Z34" s="69" t="str">
        <f t="shared" si="2"/>
        <v>Concentrado</v>
      </c>
      <c r="AA34" s="69">
        <f t="shared" si="4"/>
        <v>0</v>
      </c>
      <c r="AB34" s="69">
        <f t="shared" si="0"/>
        <v>0</v>
      </c>
      <c r="AC34" s="69">
        <f>IF($C34="Volumoso",F40,0)</f>
        <v>0</v>
      </c>
      <c r="AD34" s="69">
        <f>IF($C34="Volumoso",G40,0)</f>
        <v>0</v>
      </c>
      <c r="AE34" s="69">
        <f>IF($C34="Volumoso",H40,0)</f>
        <v>0</v>
      </c>
      <c r="AF34" s="69">
        <f>IF($C34="Volumoso",I40,0)</f>
        <v>0</v>
      </c>
      <c r="AG34" s="69">
        <f>IF($C34="Volumoso",J40,0)</f>
        <v>0</v>
      </c>
      <c r="AH34" s="69">
        <f>IF($C34="Volumoso",K40,0)</f>
        <v>0</v>
      </c>
      <c r="AI34" s="69">
        <f>IF($C34="Volumoso",L40,0)</f>
        <v>0</v>
      </c>
      <c r="AJ34" s="69">
        <f>IF($C34="Volumoso",M40,0)</f>
        <v>0</v>
      </c>
      <c r="AK34" s="69">
        <f>IF($C34="Volumoso",N40,0)</f>
        <v>0</v>
      </c>
      <c r="AL34" s="69">
        <f>IF($C34="Volumoso",O40,0)</f>
        <v>0</v>
      </c>
      <c r="AM34" s="69">
        <f>IF($C34="Volumoso",P40,0)</f>
        <v>0</v>
      </c>
      <c r="AN34" s="63">
        <f t="shared" si="3"/>
        <v>0</v>
      </c>
    </row>
    <row r="35" spans="1:41" ht="20.100000000000001" customHeight="1">
      <c r="B35" s="26"/>
      <c r="C35" s="27" t="s">
        <v>38</v>
      </c>
      <c r="D35" s="126">
        <f>SUM(D25:D34)</f>
        <v>100</v>
      </c>
      <c r="E35" s="127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2"/>
      <c r="U35" s="67"/>
      <c r="V35" s="67"/>
      <c r="W35" s="67"/>
      <c r="X35" s="67"/>
      <c r="Y35" s="67"/>
      <c r="Z35" s="70" t="s">
        <v>39</v>
      </c>
      <c r="AA35" s="67">
        <f>SUM(AA25:AA34)</f>
        <v>50</v>
      </c>
      <c r="AB35" s="67"/>
      <c r="AC35" s="71">
        <f>($AA$25/$AA$35*AC25)+($AA$26/$AA$35*AC26)+($AA$27/$AA$35*AC27)+($AA$28/$AA$35*AC28)+($AA$29/$AA$35*AC29)+($AA$30/$AA$35*AC30)+($AA$31/$AA$35*AC31)+($AA$32/$AA$35*AC32)+($AA$33/$AA$35*AC33)+($AA$34/$AA$35*AC34)</f>
        <v>94.74</v>
      </c>
      <c r="AD35" s="67">
        <f t="shared" ref="AD35:AM35" si="5">($AA$25/$AA$35*AD25)+($AA$26/$AA$35*AD26)+($AA$27/$AA$35*AD27)+($AA$28/$AA$35*AD28)+($AA$29/$AA$35*AD29)+($AA$30/$AA$35*AD30)+($AA$31/$AA$35*AD31)+($AA$32/$AA$35*AD32)+($AA$33/$AA$35*AD33)+($AA$34/$AA$35*AD34)</f>
        <v>7.26</v>
      </c>
      <c r="AE35" s="67">
        <f t="shared" si="5"/>
        <v>0</v>
      </c>
      <c r="AF35" s="67">
        <f t="shared" si="5"/>
        <v>0</v>
      </c>
      <c r="AG35" s="67">
        <f t="shared" si="5"/>
        <v>3.16</v>
      </c>
      <c r="AH35" s="67">
        <f t="shared" si="5"/>
        <v>51.77</v>
      </c>
      <c r="AI35" s="67">
        <f t="shared" si="5"/>
        <v>23.79</v>
      </c>
      <c r="AJ35" s="67">
        <f t="shared" si="5"/>
        <v>4.97</v>
      </c>
      <c r="AK35" s="67">
        <f t="shared" si="5"/>
        <v>32.549999999999997</v>
      </c>
      <c r="AL35" s="67">
        <f t="shared" si="5"/>
        <v>1.1399999999999999</v>
      </c>
      <c r="AM35" s="67">
        <f t="shared" si="5"/>
        <v>0.56999999999999995</v>
      </c>
      <c r="AN35" s="72">
        <f>SUM(AN25:AN34)</f>
        <v>161.70763260025871</v>
      </c>
      <c r="AO35" s="72"/>
    </row>
    <row r="36" spans="1:41" ht="20.100000000000001" customHeight="1">
      <c r="C36" s="28" t="s">
        <v>40</v>
      </c>
      <c r="D36" s="128">
        <f>AA35</f>
        <v>50</v>
      </c>
      <c r="E36" s="128">
        <f>IFERROR(AA35/AN35*100,0)</f>
        <v>30.92</v>
      </c>
      <c r="F36" s="128">
        <f t="shared" ref="F36:M36" si="6">IFERROR(AC35,0)</f>
        <v>94.74</v>
      </c>
      <c r="G36" s="128">
        <f t="shared" si="6"/>
        <v>7.26</v>
      </c>
      <c r="H36" s="128">
        <f t="shared" si="6"/>
        <v>0</v>
      </c>
      <c r="I36" s="128">
        <f t="shared" si="6"/>
        <v>0</v>
      </c>
      <c r="J36" s="128">
        <f t="shared" si="6"/>
        <v>3.16</v>
      </c>
      <c r="K36" s="128">
        <f t="shared" si="6"/>
        <v>51.77</v>
      </c>
      <c r="L36" s="128">
        <f t="shared" si="6"/>
        <v>23.79</v>
      </c>
      <c r="M36" s="128">
        <f t="shared" si="6"/>
        <v>4.97</v>
      </c>
      <c r="N36" s="128">
        <f>IFERROR(AK35,0)</f>
        <v>32.549999999999997</v>
      </c>
      <c r="O36" s="128">
        <f>IFERROR(AL35,0)</f>
        <v>1.1399999999999999</v>
      </c>
      <c r="P36" s="128">
        <f>IFERROR(AM35,0)</f>
        <v>0.56999999999999995</v>
      </c>
      <c r="S36" s="29"/>
      <c r="T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72"/>
      <c r="AO36" s="72"/>
    </row>
    <row r="37" spans="1:41" ht="20.100000000000001" customHeight="1">
      <c r="C37" s="30" t="s">
        <v>41</v>
      </c>
      <c r="D37" s="129">
        <f>AA66</f>
        <v>50</v>
      </c>
      <c r="E37" s="130">
        <f>IFERROR(AA66/AN66*100,0)</f>
        <v>88.118336942135429</v>
      </c>
      <c r="F37" s="130">
        <f t="shared" ref="F37:P37" si="7">IFERROR(AC66,0)</f>
        <v>95.205675000000014</v>
      </c>
      <c r="G37" s="130">
        <f t="shared" si="7"/>
        <v>16.685918999999998</v>
      </c>
      <c r="H37" s="130">
        <f t="shared" si="7"/>
        <v>1.5</v>
      </c>
      <c r="I37" s="130">
        <f t="shared" si="7"/>
        <v>3.9</v>
      </c>
      <c r="J37" s="130">
        <f t="shared" si="7"/>
        <v>3.6898980000000008</v>
      </c>
      <c r="K37" s="130">
        <f t="shared" si="7"/>
        <v>9.8867209999999996</v>
      </c>
      <c r="L37" s="130">
        <f t="shared" si="7"/>
        <v>3.990399</v>
      </c>
      <c r="M37" s="130">
        <f t="shared" si="7"/>
        <v>1.1365190000000001</v>
      </c>
      <c r="N37" s="130">
        <f t="shared" si="7"/>
        <v>67.343137000000013</v>
      </c>
      <c r="O37" s="130">
        <f t="shared" si="7"/>
        <v>0.99160700000000013</v>
      </c>
      <c r="P37" s="130">
        <f t="shared" si="7"/>
        <v>0.43744300000000003</v>
      </c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73"/>
      <c r="AG37" s="73"/>
      <c r="AH37" s="73"/>
      <c r="AI37" s="67"/>
      <c r="AJ37" s="67"/>
      <c r="AK37" s="67"/>
      <c r="AL37" s="67"/>
      <c r="AM37" s="67"/>
      <c r="AN37" s="72"/>
      <c r="AO37" s="72"/>
    </row>
    <row r="38" spans="1:41" ht="20.100000000000001" customHeight="1">
      <c r="C38" s="30" t="s">
        <v>42</v>
      </c>
      <c r="D38" s="130">
        <f>AA35+AA66</f>
        <v>100</v>
      </c>
      <c r="E38" s="130">
        <f>IFERROR(D35/AN38*100,0)</f>
        <v>45.777168066036843</v>
      </c>
      <c r="F38" s="130">
        <f>($D$25*(F25/100))+($D$26*(F26/100))+($D$27*(F27/100))+($D$28*(F28/100))+($D$29*(F29/100))+($D$30*(F30/100))+($D$31*(F31/100))+($D$32*(F32/100))+($D$33*(F33/100))+($D$34*(F40/100))</f>
        <v>94.972837500000011</v>
      </c>
      <c r="G38" s="130">
        <f>($D$25*(G25/100))+($D$26*(G26/100))+($D$27*(G27/100))+($D$28*(G28/100))+($D$29*(G29/100))+($D$30*(G30/100))+($D$31*(G31/100))+($D$32*(G32/100))+($D$33*(G33/100))+($D$34*(G40/100))</f>
        <v>11.972959500000002</v>
      </c>
      <c r="H38" s="130">
        <f>($D$25*(H25/100))+($D$26*(H26/100))+($D$27*(H27/100))+($D$28*(H28/100))+($D$29*(H29/100))+($D$30*(H30/100))+($D$31*(H31/100))+($D$32*(H32/100))+($D$33*(H33/100))+($D$34*(H40/100))</f>
        <v>0.75</v>
      </c>
      <c r="I38" s="130">
        <f>($D$25*(I25/100))+($D$26*(I26/100))+($D$27*(I27/100))+($D$28*(I28/100))+($D$29*(I29/100))+($D$30*(I30/100))+($D$31*(I31/100))+($D$32*(I32/100))+($D$33*(I33/100))+($D$34*(I40/100))</f>
        <v>1.9500000000000002</v>
      </c>
      <c r="J38" s="130">
        <f>($D$25*(J25/100))+($D$26*(J26/100))+($D$27*(J27/100))+($D$28*(J28/100))+($D$29*(J29/100))+($D$30*(J30/100))+($D$31*(J31/100))+($D$32*(J32/100))+($D$33*(J39/100))+($D$34*(J40/100))</f>
        <v>3.4249490000000002</v>
      </c>
      <c r="K38" s="130">
        <f>($D$25*(K25/100))+($D$26*(K26/100))+($D$27*(K27/100))+($D$28*(K28/100))+($D$29*(K29/100))+($D$30*(K30/100))+($D$31*(K31/100))+($D$32*(K32/100))+($D$33*(K39/100))+($D$34*(K40/100))</f>
        <v>30.828360500000002</v>
      </c>
      <c r="L38" s="130">
        <f>($D$25*(L25/100))+($D$26*(L26/100))+($D$27*(L27/100))+($D$28*(L28/100))+($D$29*(L29/100))+($D$30*(L30/100))+($D$31*(L31/100))+($D$32*(L32/100))+($D$33*(L39/100))+($D$34*(L40/100))</f>
        <v>13.8901995</v>
      </c>
      <c r="M38" s="130">
        <f>($D$25*(M25/100))+($D$26*(M26/100))+($D$27*(M27/100))+($D$28*(M28/100))+($D$29*(M29/100))+($D$30*(M30/100))+($D$31*(M31/100))+($D$32*(M32/100))+($D$33*(M39/100))+($D$34*(M40/100))</f>
        <v>3.0532595000000002</v>
      </c>
      <c r="N38" s="130">
        <f>($D$25*(N25/100))+($D$26*(N26/100))+($D$27*(N27/100))+($D$28*(N28/100))+($D$29*(N29/100))+($D$30*(N30/100))+($D$31*(N31/100))+($D$32*(N32/100))+($D$33*(N39/100))+($D$34*(N40/100))</f>
        <v>49.946568500000005</v>
      </c>
      <c r="O38" s="130">
        <f>($D$25*(O25/100))+($D$26*(O26/100))+($D$27*(O27/100))+($D$28*(O28/100))+($D$29*(O29/100))+($D$30*(O30/100))+($D$31*(O31/100))+($D$32*(O32/100))+($D$33*(O39/100))+($D$34*(O40/100))</f>
        <v>1.0658034999999999</v>
      </c>
      <c r="P38" s="130">
        <f>($D$25*(P25/100))+($D$26*(P26/100))+($D$27*(P27/100))+($D$28*(P28/100))+($D$29*(P29/100))+($D$30*(P30/100))+($D$31*(P31/100))+($D$32*(P32/100))+($D$33*(P39/100))+($D$34*(P40/100))</f>
        <v>0.50372149999999993</v>
      </c>
      <c r="Q38" s="121"/>
      <c r="R38" s="29"/>
      <c r="S38" s="29"/>
      <c r="U38" s="67"/>
      <c r="V38" s="67"/>
      <c r="W38" s="67"/>
      <c r="X38" s="67"/>
      <c r="Y38" s="67"/>
      <c r="Z38" s="67"/>
      <c r="AA38" s="67"/>
      <c r="AB38" s="67"/>
      <c r="AC38" s="74" t="s">
        <v>43</v>
      </c>
      <c r="AD38" s="74" t="s">
        <v>44</v>
      </c>
      <c r="AE38" s="63" t="s">
        <v>45</v>
      </c>
      <c r="AF38" s="73"/>
      <c r="AG38" s="73"/>
      <c r="AH38" s="65" t="s">
        <v>46</v>
      </c>
      <c r="AI38" s="67"/>
      <c r="AJ38" s="67"/>
      <c r="AL38" s="67"/>
      <c r="AM38" s="56" t="s">
        <v>47</v>
      </c>
      <c r="AN38" s="75">
        <f>AN35+AN66</f>
        <v>218.4495114589501</v>
      </c>
      <c r="AO38" s="72"/>
    </row>
    <row r="39" spans="1:41" ht="12.95" customHeight="1">
      <c r="D39" s="131"/>
      <c r="E39" s="64"/>
      <c r="F39" s="64"/>
      <c r="G39" s="64"/>
      <c r="H39" s="64"/>
      <c r="I39" s="64"/>
      <c r="J39" s="64">
        <v>0</v>
      </c>
      <c r="K39" s="64">
        <v>0</v>
      </c>
      <c r="L39" s="64">
        <v>0</v>
      </c>
      <c r="M39" s="64">
        <v>0</v>
      </c>
      <c r="N39" s="64">
        <f>F33-J39-K39-(G33-I33+H33)</f>
        <v>0</v>
      </c>
      <c r="O39" s="64">
        <v>0</v>
      </c>
      <c r="P39" s="64">
        <v>0</v>
      </c>
      <c r="Q39" s="64"/>
      <c r="U39" s="67"/>
      <c r="V39" s="67"/>
      <c r="W39" s="67"/>
      <c r="X39" s="67"/>
      <c r="Y39" s="67"/>
      <c r="Z39" s="67"/>
      <c r="AA39" s="67"/>
      <c r="AB39" s="63">
        <v>1</v>
      </c>
      <c r="AC39" s="76">
        <f>IF(AH25&gt;0,3.38+0.883*AH25-0.834*AI25+0.0065*(AI25^2)-0.197*AJ25,0)</f>
        <v>0</v>
      </c>
      <c r="AD39" s="77">
        <f>IF(AH25&gt;0,AH25-AC39,0)</f>
        <v>0</v>
      </c>
      <c r="AE39" s="73">
        <f>IF(AD39&gt;0,0.287/AD39,0)</f>
        <v>0</v>
      </c>
      <c r="AF39" s="73"/>
      <c r="AG39" s="73"/>
      <c r="AH39" s="71">
        <f>IF(Z25="Volumoso",(80.21*#REF!)-(0.0166*($C$21^2))+(2.658*#REF!)+(3.691*$G$38)+(0.0507*($C$21*#REF!))-(2.9673*(#REF!*#REF!))-(3.999*(#REF!*$G$38)),0)</f>
        <v>0</v>
      </c>
      <c r="AI39" s="67"/>
      <c r="AJ39" s="67"/>
      <c r="AL39" s="67"/>
      <c r="AM39" s="67"/>
      <c r="AN39" s="72"/>
      <c r="AO39" s="72"/>
    </row>
    <row r="40" spans="1:41" ht="20.100000000000001" customHeight="1">
      <c r="D40" s="131"/>
      <c r="E40" s="64"/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f>F40-J40-K40-(G40-I40+H40)</f>
        <v>0</v>
      </c>
      <c r="O40" s="64">
        <v>0</v>
      </c>
      <c r="P40" s="64">
        <v>0</v>
      </c>
      <c r="Q40" s="64">
        <v>0</v>
      </c>
      <c r="U40" s="67"/>
      <c r="V40" s="67"/>
      <c r="W40" s="67"/>
      <c r="AB40" s="63">
        <v>2</v>
      </c>
      <c r="AC40" s="76">
        <f>IF(AH26&gt;0,3.38+0.883*AH26-0.834*AI26+0.0065*(AI26^2)-0.197*AJ26,0)</f>
        <v>0</v>
      </c>
      <c r="AD40" s="77">
        <f t="shared" ref="AD40:AD48" si="8">IF(AH26&gt;0,AH26-AC40,0)</f>
        <v>0</v>
      </c>
      <c r="AE40" s="73">
        <f t="shared" ref="AE40:AE48" si="9">IF(AD40&gt;0,0.287/AD40,0)</f>
        <v>0</v>
      </c>
      <c r="AH40" s="71">
        <f>IF(Z26="Volumoso",(80.21*#REF!)-(0.0166*($C$21^2))+(2.658*#REF!)+(3.691*$G$38)+(0.0507*($C$21*#REF!))-(2.9673*(#REF!*#REF!))-(3.999*(#REF!*$G$38)),0)</f>
        <v>0</v>
      </c>
      <c r="AO40" s="72"/>
    </row>
    <row r="41" spans="1:41" ht="26.25" thickBot="1">
      <c r="B41" s="32" t="s">
        <v>94</v>
      </c>
      <c r="C41" s="33"/>
      <c r="D41" s="132"/>
      <c r="E41" s="132"/>
      <c r="F41" s="132"/>
      <c r="G41" s="132"/>
      <c r="H41" s="132"/>
      <c r="I41" s="132"/>
      <c r="J41" s="132"/>
      <c r="K41" s="132"/>
      <c r="Q41" s="133" t="s">
        <v>48</v>
      </c>
      <c r="AB41" s="63">
        <v>3</v>
      </c>
      <c r="AC41" s="76">
        <f t="shared" ref="AC41:AC48" si="10">IF(AH27&gt;0,3.38+0.883*AH27-0.834*AI27+0.0065*(AI27^2)-0.197*AJ27,0)</f>
        <v>0</v>
      </c>
      <c r="AD41" s="77">
        <f t="shared" si="8"/>
        <v>0</v>
      </c>
      <c r="AE41" s="73">
        <f t="shared" si="9"/>
        <v>0</v>
      </c>
      <c r="AH41" s="71">
        <f>IF(Z27="Volumoso",(80.21*#REF!)-(0.0166*($C$21^2))+(2.658*#REF!)+(3.691*$G$38)+(0.0507*($C$21*#REF!))-(2.9673*(#REF!*#REF!))-(3.999*(#REF!*$G$38)),0)</f>
        <v>0</v>
      </c>
    </row>
    <row r="42" spans="1:41" ht="20.100000000000001" customHeight="1">
      <c r="B42" s="34" t="s">
        <v>57</v>
      </c>
      <c r="C42" s="16" t="s">
        <v>49</v>
      </c>
      <c r="D42" s="88" t="s">
        <v>50</v>
      </c>
      <c r="E42" s="88" t="s">
        <v>43</v>
      </c>
      <c r="F42" s="88" t="s">
        <v>44</v>
      </c>
      <c r="G42" s="88" t="s">
        <v>51</v>
      </c>
      <c r="H42" s="88" t="s">
        <v>52</v>
      </c>
      <c r="I42" s="88" t="s">
        <v>53</v>
      </c>
      <c r="J42" s="88" t="s">
        <v>54</v>
      </c>
      <c r="K42" s="88" t="s">
        <v>55</v>
      </c>
      <c r="Q42" s="134" t="s">
        <v>102</v>
      </c>
      <c r="R42" s="35"/>
      <c r="S42" s="36"/>
      <c r="AB42" s="63">
        <v>4</v>
      </c>
      <c r="AC42" s="76">
        <f t="shared" si="10"/>
        <v>0</v>
      </c>
      <c r="AD42" s="77">
        <f t="shared" si="8"/>
        <v>0</v>
      </c>
      <c r="AE42" s="73">
        <f t="shared" si="9"/>
        <v>0</v>
      </c>
      <c r="AH42" s="71">
        <f>IF(Z28="Volumoso",(80.21*#REF!)-(0.0166*($C$21^2))+(2.658*#REF!)+(3.691*$G$38)+(0.0507*($C$21*#REF!))-(2.9673*(#REF!*#REF!))-(3.999*(#REF!*$G$38)),0)</f>
        <v>0</v>
      </c>
    </row>
    <row r="43" spans="1:41" ht="20.100000000000001" customHeight="1">
      <c r="A43" s="42">
        <v>1</v>
      </c>
      <c r="B43" s="37" t="str">
        <f t="shared" ref="B43:B52" si="11">IF(B25=0,"",B25)</f>
        <v/>
      </c>
      <c r="C43" s="38" t="str">
        <f t="shared" ref="C43:C50" si="12">IF(D25&gt;0,0.86*J25,"")</f>
        <v/>
      </c>
      <c r="D43" s="135" t="str">
        <f t="shared" ref="D43:D50" si="13">IF(D25&gt;0,0.95*N25,"")</f>
        <v/>
      </c>
      <c r="E43" s="135" t="str">
        <f t="shared" ref="E43:E50" si="14">IF(D25&gt;0,IF(K25&gt;0,IF(C25="Volumoso",3.38+0.883*K25-0.834*L25+0.0065*(L25^2)-0.197*M25,-1.19-10.16*Q25+1.012*K25-0.052*L25),"0"),"")</f>
        <v/>
      </c>
      <c r="F43" s="135" t="str">
        <f t="shared" ref="F43:F50" si="15">IF(D25&gt;0,IF(K25&gt;0,K25-E43,"0"),"")</f>
        <v/>
      </c>
      <c r="G43" s="135" t="str">
        <f t="shared" ref="G43:G48" si="16">IF(D25&gt;0,IF(K25&gt;0,IF(C25="Volumoso",(($G$62/($G$62+H62))*31.95)*1.12,(($G$62/($G$62+H62))*8.64)*1.12),0),"")</f>
        <v/>
      </c>
      <c r="H43" s="135" t="str">
        <f t="shared" ref="H43:H51" si="17">IF(D25&gt;0,IF(G25&gt;0,IF(C25="Volumoso",$U$25*(G25-O25)+($G$62/($G$62+H62))*(1.14*(1-EXP(-(0.8188+1.1676*0.57)))),$U$25*(G25-O25)+($G$62/($G$62+H62))*(0.99*(1-EXP(-(0.8188+1.1676*0.44))))),0),"")</f>
        <v/>
      </c>
      <c r="I43" s="135" t="str">
        <f t="shared" ref="I43:I50" si="18">IF(D25&gt;0,IF(F62=0,0,IF(I62&gt;0,I62,0)),"")</f>
        <v/>
      </c>
      <c r="J43" s="135" t="str">
        <f t="shared" ref="J43:K50" si="19">IF(J62&gt;0,J62,0)</f>
        <v/>
      </c>
      <c r="K43" s="135" t="str">
        <f t="shared" si="19"/>
        <v/>
      </c>
      <c r="Q43" s="80" t="s">
        <v>103</v>
      </c>
      <c r="R43" s="23"/>
      <c r="S43" s="39"/>
      <c r="AB43" s="63">
        <v>5</v>
      </c>
      <c r="AC43" s="76">
        <f t="shared" si="10"/>
        <v>0</v>
      </c>
      <c r="AD43" s="77">
        <f t="shared" si="8"/>
        <v>0</v>
      </c>
      <c r="AE43" s="73">
        <f t="shared" si="9"/>
        <v>0</v>
      </c>
      <c r="AH43" s="71">
        <f>IF(Z29="Volumoso",(80.21*#REF!)-(0.0166*($C$21^2))+(2.658*#REF!)+(3.691*$G$38)+(0.0507*($C$21*#REF!))-(2.9673*(#REF!*#REF!))-(3.999*(#REF!*$G$38)),0)</f>
        <v>0</v>
      </c>
      <c r="AO43" s="64"/>
    </row>
    <row r="44" spans="1:41" ht="20.100000000000001" customHeight="1">
      <c r="A44" s="42">
        <v>2</v>
      </c>
      <c r="B44" s="40" t="str">
        <f t="shared" si="11"/>
        <v/>
      </c>
      <c r="C44" s="41" t="str">
        <f t="shared" si="12"/>
        <v/>
      </c>
      <c r="D44" s="136" t="str">
        <f t="shared" si="13"/>
        <v/>
      </c>
      <c r="E44" s="136" t="str">
        <f t="shared" si="14"/>
        <v/>
      </c>
      <c r="F44" s="136" t="str">
        <f t="shared" si="15"/>
        <v/>
      </c>
      <c r="G44" s="136" t="str">
        <f t="shared" si="16"/>
        <v/>
      </c>
      <c r="H44" s="136" t="str">
        <f t="shared" si="17"/>
        <v/>
      </c>
      <c r="I44" s="136" t="str">
        <f t="shared" si="18"/>
        <v/>
      </c>
      <c r="J44" s="136" t="str">
        <f t="shared" si="19"/>
        <v/>
      </c>
      <c r="K44" s="136" t="str">
        <f t="shared" si="19"/>
        <v/>
      </c>
      <c r="L44" s="98"/>
      <c r="N44" s="79"/>
      <c r="O44" s="79"/>
      <c r="P44" s="79"/>
      <c r="Q44" s="80" t="s">
        <v>104</v>
      </c>
      <c r="R44" s="23"/>
      <c r="S44" s="39"/>
      <c r="AB44" s="63">
        <v>6</v>
      </c>
      <c r="AC44" s="76">
        <f t="shared" si="10"/>
        <v>31.951726650000005</v>
      </c>
      <c r="AD44" s="77">
        <f t="shared" si="8"/>
        <v>19.818273349999998</v>
      </c>
      <c r="AE44" s="73">
        <f t="shared" si="9"/>
        <v>1.4481584491819516E-2</v>
      </c>
      <c r="AH44" s="71" t="e">
        <f>IF(Z30="Volumoso",(80.21*#REF!)-(0.0166*($C$21^2))+(2.658*#REF!)+(3.691*$G$38)+(0.0507*($C$21*#REF!))-(2.9673*(#REF!*#REF!))-(3.999*(#REF!*$G$38)),0)</f>
        <v>#REF!</v>
      </c>
      <c r="AO44" s="64"/>
    </row>
    <row r="45" spans="1:41" ht="20.100000000000001" customHeight="1">
      <c r="A45" s="42">
        <v>3</v>
      </c>
      <c r="B45" s="37" t="str">
        <f t="shared" si="11"/>
        <v/>
      </c>
      <c r="C45" s="38" t="str">
        <f t="shared" si="12"/>
        <v/>
      </c>
      <c r="D45" s="135" t="str">
        <f t="shared" si="13"/>
        <v/>
      </c>
      <c r="E45" s="135" t="str">
        <f t="shared" si="14"/>
        <v/>
      </c>
      <c r="F45" s="135" t="str">
        <f t="shared" si="15"/>
        <v/>
      </c>
      <c r="G45" s="135" t="str">
        <f t="shared" si="16"/>
        <v/>
      </c>
      <c r="H45" s="135" t="str">
        <f t="shared" si="17"/>
        <v/>
      </c>
      <c r="I45" s="135" t="str">
        <f t="shared" si="18"/>
        <v/>
      </c>
      <c r="J45" s="135" t="str">
        <f t="shared" si="19"/>
        <v/>
      </c>
      <c r="K45" s="135" t="str">
        <f t="shared" si="19"/>
        <v/>
      </c>
      <c r="N45" s="79"/>
      <c r="P45" s="79"/>
      <c r="Q45" s="80" t="s">
        <v>105</v>
      </c>
      <c r="R45" s="23"/>
      <c r="S45" s="39"/>
      <c r="AB45" s="63">
        <v>7</v>
      </c>
      <c r="AC45" s="76">
        <f t="shared" si="10"/>
        <v>0</v>
      </c>
      <c r="AD45" s="77">
        <f t="shared" si="8"/>
        <v>0</v>
      </c>
      <c r="AE45" s="73">
        <f t="shared" si="9"/>
        <v>0</v>
      </c>
      <c r="AH45" s="71">
        <f>IF(Z31="Volumoso",(80.21*#REF!)-(0.0166*($C$21^2))+(2.658*#REF!)+(3.691*$G$38)+(0.0507*($C$21*#REF!))-(2.9673*(#REF!*#REF!))-(3.999*(#REF!*$G$38)),0)</f>
        <v>0</v>
      </c>
      <c r="AO45" s="64"/>
    </row>
    <row r="46" spans="1:41" ht="20.100000000000001" customHeight="1">
      <c r="A46" s="42">
        <v>4</v>
      </c>
      <c r="B46" s="40" t="str">
        <f t="shared" si="11"/>
        <v/>
      </c>
      <c r="C46" s="41" t="str">
        <f t="shared" si="12"/>
        <v/>
      </c>
      <c r="D46" s="136" t="str">
        <f t="shared" si="13"/>
        <v/>
      </c>
      <c r="E46" s="136" t="str">
        <f t="shared" si="14"/>
        <v/>
      </c>
      <c r="F46" s="136" t="str">
        <f t="shared" si="15"/>
        <v/>
      </c>
      <c r="G46" s="136" t="str">
        <f t="shared" si="16"/>
        <v/>
      </c>
      <c r="H46" s="136" t="str">
        <f t="shared" si="17"/>
        <v/>
      </c>
      <c r="I46" s="136" t="str">
        <f>IF(D28&gt;0,IF(F65=0,0,IF(I65&gt;0,I65,0)),"")</f>
        <v/>
      </c>
      <c r="J46" s="136" t="str">
        <f t="shared" si="19"/>
        <v/>
      </c>
      <c r="K46" s="136" t="str">
        <f t="shared" si="19"/>
        <v/>
      </c>
      <c r="N46" s="79"/>
      <c r="P46" s="79"/>
      <c r="Q46" s="80" t="s">
        <v>106</v>
      </c>
      <c r="R46" s="23"/>
      <c r="S46" s="39"/>
      <c r="AB46" s="63">
        <v>8</v>
      </c>
      <c r="AC46" s="76">
        <f t="shared" si="10"/>
        <v>0</v>
      </c>
      <c r="AD46" s="77">
        <f t="shared" si="8"/>
        <v>0</v>
      </c>
      <c r="AE46" s="73">
        <f t="shared" si="9"/>
        <v>0</v>
      </c>
      <c r="AH46" s="71">
        <f>IF(Z32="Volumoso",(80.21*#REF!)-(0.0166*($C$21^2))+(2.658*#REF!)+(3.691*$G$38)+(0.0507*($C$21*#REF!))-(2.9673*(#REF!*#REF!))-(3.999*(#REF!*$G$38)),0)</f>
        <v>0</v>
      </c>
      <c r="AO46" s="64"/>
    </row>
    <row r="47" spans="1:41" ht="20.100000000000001" customHeight="1">
      <c r="A47" s="42">
        <v>5</v>
      </c>
      <c r="B47" s="37" t="str">
        <f t="shared" si="11"/>
        <v/>
      </c>
      <c r="C47" s="38" t="str">
        <f t="shared" si="12"/>
        <v/>
      </c>
      <c r="D47" s="135" t="str">
        <f t="shared" si="13"/>
        <v/>
      </c>
      <c r="E47" s="135" t="str">
        <f t="shared" si="14"/>
        <v/>
      </c>
      <c r="F47" s="135" t="str">
        <f t="shared" si="15"/>
        <v/>
      </c>
      <c r="G47" s="135" t="str">
        <f t="shared" si="16"/>
        <v/>
      </c>
      <c r="H47" s="135" t="str">
        <f t="shared" si="17"/>
        <v/>
      </c>
      <c r="I47" s="135" t="str">
        <f t="shared" si="18"/>
        <v/>
      </c>
      <c r="J47" s="135" t="str">
        <f t="shared" si="19"/>
        <v/>
      </c>
      <c r="K47" s="135" t="str">
        <f t="shared" si="19"/>
        <v/>
      </c>
      <c r="N47" s="79"/>
      <c r="O47" s="79"/>
      <c r="P47" s="79"/>
      <c r="Q47" s="80" t="s">
        <v>107</v>
      </c>
      <c r="R47" s="23"/>
      <c r="S47" s="39"/>
      <c r="AB47" s="63">
        <v>9</v>
      </c>
      <c r="AC47" s="76">
        <f t="shared" si="10"/>
        <v>0</v>
      </c>
      <c r="AD47" s="77">
        <f t="shared" si="8"/>
        <v>0</v>
      </c>
      <c r="AE47" s="73">
        <f t="shared" si="9"/>
        <v>0</v>
      </c>
      <c r="AH47" s="71">
        <f>IF(Z33="Volumoso",(80.21*#REF!)-(0.0166*($C$21^2))+(2.658*#REF!)+(3.691*$G$38)+(0.0507*($C$21*#REF!))-(2.9673*(#REF!*#REF!))-(3.999*(#REF!*$G$38)),0)</f>
        <v>0</v>
      </c>
      <c r="AO47" s="64"/>
    </row>
    <row r="48" spans="1:41" ht="20.100000000000001" customHeight="1">
      <c r="A48" s="42">
        <v>6</v>
      </c>
      <c r="B48" s="40" t="str">
        <f t="shared" si="11"/>
        <v>Silagem de milho</v>
      </c>
      <c r="C48" s="41">
        <f t="shared" si="12"/>
        <v>2.7176</v>
      </c>
      <c r="D48" s="136">
        <f t="shared" si="13"/>
        <v>30.922499999999996</v>
      </c>
      <c r="E48" s="137">
        <f t="shared" si="14"/>
        <v>31.951726650000005</v>
      </c>
      <c r="F48" s="136">
        <f t="shared" si="15"/>
        <v>19.818273349999998</v>
      </c>
      <c r="G48" s="136">
        <f>IF(D30&gt;0,IF(K30&gt;0,IF(C30="Volumoso",(($G$62/($G$62+H67))*31.95)*1.12,(($G$62/($G$62+H67))*8.64)*1.12),0),"")</f>
        <v>30.427519209685698</v>
      </c>
      <c r="H48" s="136">
        <f t="shared" si="17"/>
        <v>6.5636465150817136</v>
      </c>
      <c r="I48" s="136">
        <f>IF(D30&gt;0,IF(F67=0,0,IF(I67&gt;0,I67,0)),"")</f>
        <v>66.898265724767413</v>
      </c>
      <c r="J48" s="136">
        <f t="shared" si="19"/>
        <v>2.8995650116513749</v>
      </c>
      <c r="K48" s="136">
        <f t="shared" si="19"/>
        <v>2.4385387185163752</v>
      </c>
      <c r="Q48" s="80" t="s">
        <v>108</v>
      </c>
      <c r="R48" s="23"/>
      <c r="S48" s="39"/>
      <c r="AB48" s="63">
        <v>10</v>
      </c>
      <c r="AC48" s="76">
        <f t="shared" si="10"/>
        <v>0</v>
      </c>
      <c r="AD48" s="77">
        <f t="shared" si="8"/>
        <v>0</v>
      </c>
      <c r="AE48" s="73">
        <f t="shared" si="9"/>
        <v>0</v>
      </c>
      <c r="AH48" s="71">
        <f>IF(Z34="Volumoso",(80.21*#REF!)-(0.0166*($C$21^2))+(2.658*#REF!)+(3.691*$G$38)+(0.0507*($C$21*#REF!))-(2.9673*(#REF!*#REF!))-(3.999*(#REF!*$G$38)),0)</f>
        <v>0</v>
      </c>
      <c r="AO48" s="64"/>
    </row>
    <row r="49" spans="1:41" ht="20.100000000000001" customHeight="1">
      <c r="A49" s="42">
        <v>7</v>
      </c>
      <c r="B49" s="37" t="str">
        <f t="shared" si="11"/>
        <v>Milho</v>
      </c>
      <c r="C49" s="38">
        <f t="shared" si="12"/>
        <v>3.5002</v>
      </c>
      <c r="D49" s="135">
        <f t="shared" si="13"/>
        <v>70.518500000000003</v>
      </c>
      <c r="E49" s="139">
        <f t="shared" si="14"/>
        <v>8.9049200000000006</v>
      </c>
      <c r="F49" s="135">
        <f t="shared" si="15"/>
        <v>1.2850799999999989</v>
      </c>
      <c r="G49" s="135">
        <f>IF(D31&gt;0,IF(K31&gt;0,IF(C31="Volumoso",(($G$62/($G$62+H68))*31.95)*1.12,(($G$62/($G$62+H68))*8.64)*1.12),0),"")</f>
        <v>8.2282868848727535</v>
      </c>
      <c r="H49" s="135">
        <f t="shared" si="17"/>
        <v>8.4477343227810344</v>
      </c>
      <c r="I49" s="135">
        <f>IF(D31&gt;0,IF(F68=0,0,IF(I68&gt;0,I68,0)),"")</f>
        <v>87.939971207653798</v>
      </c>
      <c r="J49" s="135">
        <f t="shared" si="19"/>
        <v>3.7357381712403939</v>
      </c>
      <c r="K49" s="135">
        <f>IF(K68&gt;0,K68,0)</f>
        <v>3.2291404409077926</v>
      </c>
      <c r="Q49" s="80" t="s">
        <v>109</v>
      </c>
      <c r="R49" s="23"/>
      <c r="S49" s="39"/>
      <c r="AA49" s="63" t="s">
        <v>56</v>
      </c>
      <c r="AE49" s="73">
        <f>($AA$25/$AA$35*AE39)+($AA$26/$AA$35*AE40)+($AA$27/$AA$35*AE41)+($AA$28/$AA$35*AE42)+($AA$29/$AA$35*AE43)+($AA$30/$AA$35*AE44)+($AA$31/$AA$35*AE45)+($AA$32/$AA$35*AE46)+($AA$33/$AA$35*AE47)+($AA$34/$AA$35*AE48)</f>
        <v>1.4481584491819516E-2</v>
      </c>
      <c r="AH49" s="73" t="e">
        <f>($AA$25/$AA$35*AH39)+($AA$26/$AA$35*AH40)+($AA$27/$AA$35*AH41)+($AA$28/$AA$35*AH42)+($AA$29/$AA$35*AH43)+($AA$30/$AA$35*AH44)+($AA$31/$AA$35*AH45)+($AA$32/$AA$35*AH46)+($AA$33/$AA$35*AH47)+($AA$34/$AA$35*AH48)</f>
        <v>#REF!</v>
      </c>
      <c r="AO49" s="64"/>
    </row>
    <row r="50" spans="1:41" ht="20.100000000000001" customHeight="1">
      <c r="A50" s="42">
        <v>8</v>
      </c>
      <c r="B50" s="40" t="str">
        <f t="shared" si="11"/>
        <v>F. Soja</v>
      </c>
      <c r="C50" s="41">
        <f t="shared" si="12"/>
        <v>1.4705999999999999</v>
      </c>
      <c r="D50" s="136">
        <f t="shared" si="13"/>
        <v>30.058</v>
      </c>
      <c r="E50" s="137">
        <f>IF(D32&gt;0,IF(K32&gt;0,IF(C32="Volumoso",3.38+0.883*K32-0.834*L32+0.0065*(L32^2)-0.197*M32,-1.19-10.16*Q32+1.012*K32-0.052*L32),"0"),"")</f>
        <v>9.4636400000000016</v>
      </c>
      <c r="F50" s="136">
        <f>IF(D32&gt;0,IF(K32&gt;0,K32-E50,"0"),"")</f>
        <v>1.256359999999999</v>
      </c>
      <c r="G50" s="136">
        <f>IF(D32&gt;0,IF(K32&gt;0,IF(C32="Volumoso",(($G$62/($G$62+H69))*31.95)*1.12,(($G$62/($G$62+H69))*8.64)*1.12),0),"")</f>
        <v>7.3483156842501067</v>
      </c>
      <c r="H50" s="136">
        <f>IF(D32&gt;0,IF(G32&gt;0,IF(C32="Volumoso",$U$25*(G32-O32)+($G$62/($G$62+H69))*(1.14*(1-EXP(-(0.8188+1.1676*0.57)))),$U$25*(G32-O32)+($G$62/($G$62+H69))*(0.99*(1-EXP(-(0.8188+1.1676*0.44))))),0),"")</f>
        <v>44.633457057085877</v>
      </c>
      <c r="I50" s="136">
        <f>IF(D32&gt;0,IF(F69=0,0,IF(I69&gt;0,I69,0)),"")</f>
        <v>78.218622741335992</v>
      </c>
      <c r="J50" s="136">
        <f>IF(J69&gt;0,J69,0)</f>
        <v>4.0258388539353138</v>
      </c>
      <c r="K50" s="136">
        <f>IF(K69&gt;0,K69,0)</f>
        <v>3.5034306363958394</v>
      </c>
      <c r="Q50" s="80" t="s">
        <v>110</v>
      </c>
      <c r="R50" s="23"/>
      <c r="S50" s="39"/>
      <c r="AO50" s="64"/>
    </row>
    <row r="51" spans="1:41" ht="20.100000000000001" customHeight="1">
      <c r="A51" s="42">
        <v>9</v>
      </c>
      <c r="B51" s="37" t="str">
        <f t="shared" si="11"/>
        <v>Ureia/SA</v>
      </c>
      <c r="C51" s="38" t="s">
        <v>97</v>
      </c>
      <c r="D51" s="135" t="s">
        <v>97</v>
      </c>
      <c r="E51" s="139" t="s">
        <v>97</v>
      </c>
      <c r="F51" s="135" t="s">
        <v>97</v>
      </c>
      <c r="G51" s="135" t="s">
        <v>97</v>
      </c>
      <c r="H51" s="135">
        <f>IF(D33&gt;0,IF(G33&gt;0,IF(C33="Volumoso",$U$25*(G33-O39)+($G$62/($G$62+H70))*(1.14*(1-EXP(-(0.8188+1.1676*0.57)))),$U$25*(G33-O39)+($G$62/($G$62+H70))*(0.99*(1-EXP(-(0.8188+1.1676*0.44))))),0),"")</f>
        <v>247.58472358448526</v>
      </c>
      <c r="I51" s="135" t="s">
        <v>97</v>
      </c>
      <c r="J51" s="140" t="s">
        <v>97</v>
      </c>
      <c r="K51" s="140" t="s">
        <v>97</v>
      </c>
      <c r="Q51" s="80" t="s">
        <v>111</v>
      </c>
      <c r="R51" s="23"/>
      <c r="S51" s="39"/>
      <c r="AO51" s="64"/>
    </row>
    <row r="52" spans="1:41" ht="20.100000000000001" customHeight="1" thickBot="1">
      <c r="A52" s="42">
        <v>10</v>
      </c>
      <c r="B52" s="44" t="str">
        <f t="shared" si="11"/>
        <v>Mistura mineral</v>
      </c>
      <c r="C52" s="45" t="s">
        <v>97</v>
      </c>
      <c r="D52" s="141" t="s">
        <v>97</v>
      </c>
      <c r="E52" s="142" t="s">
        <v>97</v>
      </c>
      <c r="F52" s="141" t="s">
        <v>97</v>
      </c>
      <c r="G52" s="141" t="s">
        <v>97</v>
      </c>
      <c r="H52" s="141" t="s">
        <v>97</v>
      </c>
      <c r="I52" s="141" t="s">
        <v>97</v>
      </c>
      <c r="J52" s="143" t="s">
        <v>97</v>
      </c>
      <c r="K52" s="143" t="s">
        <v>97</v>
      </c>
      <c r="Q52" s="80" t="s">
        <v>112</v>
      </c>
      <c r="R52" s="23"/>
      <c r="S52" s="39"/>
      <c r="AO52" s="64"/>
    </row>
    <row r="53" spans="1:41" ht="20.100000000000001" customHeight="1">
      <c r="A53" s="42"/>
      <c r="B53" s="46" t="s">
        <v>1</v>
      </c>
      <c r="C53" s="47">
        <f>0.86*J36</f>
        <v>2.7176</v>
      </c>
      <c r="D53" s="144">
        <f>0.95*N36</f>
        <v>30.922499999999996</v>
      </c>
      <c r="E53" s="144">
        <f>IF(D36=0,0,3.38+0.883*K36-0.834*L36+0.0065*(L36^2)-0.197*M36)</f>
        <v>31.951726650000005</v>
      </c>
      <c r="F53" s="144">
        <f>K36-E53</f>
        <v>19.818273349999998</v>
      </c>
      <c r="G53" s="144">
        <f>IF(D36=0,0,(($G$62/($G$62+H68))*31.95)*1.12)</f>
        <v>30.427519209685698</v>
      </c>
      <c r="H53" s="144">
        <f>IF(D36=0,0,$U$25*(G36-O36)+($G$62/($G$62+H68))*(1.14*(1-EXP(-(0.8188+1.1676*0.57)))))</f>
        <v>6.5636465150817136</v>
      </c>
      <c r="I53" s="144">
        <f>IF(D36=0,0,H53+D53+G53+2.25*C53-7.13)</f>
        <v>66.898265724767413</v>
      </c>
      <c r="J53" s="144">
        <f>IF(D36=0,0,0.056*H53+0.042*D53+0.042*G53+0.094*2.95-0.322)</f>
        <v>2.8995650116513749</v>
      </c>
      <c r="K53" s="144">
        <f>IF(D36=0,0,0.9455*J53-0.303)</f>
        <v>2.4385387185163752</v>
      </c>
      <c r="Q53" s="80" t="s">
        <v>113</v>
      </c>
      <c r="R53" s="23"/>
      <c r="S53" s="39"/>
      <c r="X53" s="67"/>
      <c r="Y53" s="65" t="s">
        <v>58</v>
      </c>
      <c r="AN53" s="72"/>
      <c r="AO53" s="64"/>
    </row>
    <row r="54" spans="1:41" ht="20.100000000000001" customHeight="1">
      <c r="A54" s="42"/>
      <c r="B54" s="48" t="str">
        <f>C37</f>
        <v>Concentrado:</v>
      </c>
      <c r="C54" s="31">
        <f>0.86*J37</f>
        <v>3.1733122800000007</v>
      </c>
      <c r="D54" s="130">
        <f>0.95*N37</f>
        <v>63.975980150000012</v>
      </c>
      <c r="E54" s="130">
        <f>IF(D37=0,0,AE79)</f>
        <v>8.6495109040000013</v>
      </c>
      <c r="F54" s="130">
        <f>K37-E54</f>
        <v>1.2372100959999983</v>
      </c>
      <c r="G54" s="130">
        <f>IF(D37=0,0,(($G$62/($G$62+H69))*8.64)*1.12)</f>
        <v>7.3483156842501067</v>
      </c>
      <c r="H54" s="130">
        <f>IF(D37=0,0,$U$25*(G37-O37)+($G$62/($G$62+H69))*(0.99*(1-EXP(-(0.8188+1.1676*0.44)))))</f>
        <v>15.463053457085875</v>
      </c>
      <c r="I54" s="130">
        <f>IF(D37=0,0,H54+D54+G54+2.25*C54-7.13)</f>
        <v>86.797301921336</v>
      </c>
      <c r="J54" s="130">
        <f>IF(D37=0,0,0.056*H54+0.042*D54+0.042*G54+0.094*2.95-0.322)</f>
        <v>3.8168514186353146</v>
      </c>
      <c r="K54" s="130">
        <f>IF(D36=0,0,0.9455*J54-0.303)</f>
        <v>3.3058330163196903</v>
      </c>
      <c r="Q54" s="80" t="s">
        <v>114</v>
      </c>
      <c r="R54" s="23"/>
      <c r="S54" s="39"/>
      <c r="AO54" s="64"/>
    </row>
    <row r="55" spans="1:41" ht="20.100000000000001" customHeight="1">
      <c r="A55" s="42"/>
      <c r="B55" s="49" t="str">
        <f>C38</f>
        <v>Dieta:</v>
      </c>
      <c r="C55" s="50">
        <f>0.86*J38</f>
        <v>2.9454561400000001</v>
      </c>
      <c r="D55" s="145">
        <f>0.95*N38</f>
        <v>47.449240075000006</v>
      </c>
      <c r="E55" s="145">
        <f>E53*(D36/100)+E54*(D37/100)</f>
        <v>20.300618777000004</v>
      </c>
      <c r="F55" s="145">
        <f>K38-E55</f>
        <v>10.527741722999998</v>
      </c>
      <c r="G55" s="145">
        <f>G53*(D36/100)+G54*(D37/100)</f>
        <v>18.887917446967904</v>
      </c>
      <c r="H55" s="145">
        <f>(D36/100)*H53+(D37/100)*H54</f>
        <v>11.013349986083794</v>
      </c>
      <c r="I55" s="145">
        <f>IF(D38=0,0,H55+D55+G55+2.25*C55-7.13)</f>
        <v>76.847783823051714</v>
      </c>
      <c r="J55" s="145">
        <f>IF(D38=0,0,0.056*H55+0.042*D55+0.042*G55+0.094*2.95-0.322)</f>
        <v>3.3582082151433443</v>
      </c>
      <c r="K55" s="145">
        <f>IF(D36=0,0,0.9455*J55-0.303)</f>
        <v>2.8721858674180321</v>
      </c>
      <c r="Q55" s="80" t="s">
        <v>115</v>
      </c>
      <c r="R55" s="23"/>
      <c r="S55" s="39"/>
      <c r="Y55" s="66" t="s">
        <v>7</v>
      </c>
      <c r="Z55" s="65" t="s">
        <v>8</v>
      </c>
      <c r="AA55" s="65" t="s">
        <v>9</v>
      </c>
      <c r="AB55" s="65" t="s">
        <v>25</v>
      </c>
      <c r="AC55" s="65" t="s">
        <v>26</v>
      </c>
      <c r="AD55" s="65" t="s">
        <v>27</v>
      </c>
      <c r="AE55" s="65" t="s">
        <v>28</v>
      </c>
      <c r="AF55" s="65" t="s">
        <v>29</v>
      </c>
      <c r="AG55" s="65" t="s">
        <v>30</v>
      </c>
      <c r="AH55" s="65" t="s">
        <v>31</v>
      </c>
      <c r="AI55" s="65" t="s">
        <v>32</v>
      </c>
      <c r="AJ55" s="65" t="s">
        <v>33</v>
      </c>
      <c r="AK55" s="65" t="s">
        <v>34</v>
      </c>
      <c r="AL55" s="65" t="s">
        <v>35</v>
      </c>
      <c r="AM55" s="65" t="s">
        <v>36</v>
      </c>
      <c r="AN55" s="63" t="s">
        <v>37</v>
      </c>
      <c r="AO55" s="64"/>
    </row>
    <row r="56" spans="1:41" s="58" customFormat="1" ht="20.100000000000001" customHeight="1">
      <c r="Q56" s="80" t="s">
        <v>98</v>
      </c>
      <c r="R56" s="81"/>
      <c r="S56" s="82"/>
      <c r="T56" s="79"/>
      <c r="U56" s="79"/>
      <c r="V56" s="79"/>
      <c r="W56" s="79"/>
      <c r="X56" s="79">
        <v>1</v>
      </c>
      <c r="Y56" s="83">
        <f t="shared" ref="Y56:Z65" si="20">B25</f>
        <v>0</v>
      </c>
      <c r="Z56" s="83">
        <f t="shared" si="20"/>
        <v>0</v>
      </c>
      <c r="AA56" s="84">
        <f t="shared" ref="AA56:AM65" si="21">IF($C25="Volumoso",0,D25)</f>
        <v>0</v>
      </c>
      <c r="AB56" s="84">
        <f t="shared" si="21"/>
        <v>0</v>
      </c>
      <c r="AC56" s="84">
        <f t="shared" si="21"/>
        <v>0</v>
      </c>
      <c r="AD56" s="84">
        <f t="shared" si="21"/>
        <v>0</v>
      </c>
      <c r="AE56" s="84">
        <f t="shared" si="21"/>
        <v>0</v>
      </c>
      <c r="AF56" s="84">
        <f t="shared" si="21"/>
        <v>0</v>
      </c>
      <c r="AG56" s="84">
        <f t="shared" si="21"/>
        <v>0</v>
      </c>
      <c r="AH56" s="84">
        <f t="shared" si="21"/>
        <v>0</v>
      </c>
      <c r="AI56" s="84">
        <f t="shared" si="21"/>
        <v>0</v>
      </c>
      <c r="AJ56" s="84">
        <f t="shared" si="21"/>
        <v>0</v>
      </c>
      <c r="AK56" s="84">
        <f t="shared" si="21"/>
        <v>0</v>
      </c>
      <c r="AL56" s="84">
        <f t="shared" si="21"/>
        <v>0</v>
      </c>
      <c r="AM56" s="84">
        <f t="shared" si="21"/>
        <v>0</v>
      </c>
      <c r="AN56" s="79">
        <f>IF(AA56=0,0,AA56/(AB56/100))</f>
        <v>0</v>
      </c>
    </row>
    <row r="57" spans="1:41" s="58" customFormat="1" ht="20.100000000000001" customHeight="1">
      <c r="B57" s="146" t="str">
        <f>B51</f>
        <v>Ureia/SA</v>
      </c>
      <c r="C57" s="63">
        <f>IF(D33&gt;0,0.86*J39,"")</f>
        <v>0</v>
      </c>
      <c r="D57" s="63">
        <f>IF(D33&gt;0,0.95*N39,"")</f>
        <v>0</v>
      </c>
      <c r="E57" s="63" t="str">
        <f>IF(D33&gt;0,IF(K39&gt;0,IF(C33="Volumoso",3.38+0.883*K39-0.834*L39+0.0065*(L39^2)-0.197*M39,-1.19-10.16*Q40+1.012*K39-0.052*L39),"0"),"")</f>
        <v>0</v>
      </c>
      <c r="F57" s="63" t="str">
        <f>IF(D33&gt;0,IF(K39&gt;0,K39-E57,"0"),"")</f>
        <v>0</v>
      </c>
      <c r="G57" s="63">
        <f>IF(D33&gt;0,IF(K39&gt;0,IF(C33="Volumoso",(($G$62/($G$62+#REF!))*31.95)*1.12,(($G$62/($G$62+#REF!))*8.64)*1.12),0),"")</f>
        <v>0</v>
      </c>
      <c r="H57" s="63"/>
      <c r="I57" s="63">
        <f>IF(D33&gt;0,IF(F70=0,0,IF(I70&gt;0,I70,0)),"")</f>
        <v>0</v>
      </c>
      <c r="J57" s="63">
        <f>IF(J70&gt;0,J70,0)</f>
        <v>13.820044520731177</v>
      </c>
      <c r="K57" s="63">
        <f>IF(K70&gt;0,K70,0)</f>
        <v>12.763852094351327</v>
      </c>
      <c r="L57" s="64"/>
      <c r="Q57" s="80" t="s">
        <v>99</v>
      </c>
      <c r="R57" s="81"/>
      <c r="S57" s="82"/>
      <c r="T57" s="79"/>
      <c r="U57" s="79"/>
      <c r="V57" s="79"/>
      <c r="W57" s="79"/>
      <c r="X57" s="79">
        <v>2</v>
      </c>
      <c r="Y57" s="83">
        <f t="shared" si="20"/>
        <v>0</v>
      </c>
      <c r="Z57" s="83">
        <f t="shared" si="20"/>
        <v>0</v>
      </c>
      <c r="AA57" s="84">
        <f t="shared" si="21"/>
        <v>0</v>
      </c>
      <c r="AB57" s="84">
        <f t="shared" si="21"/>
        <v>0</v>
      </c>
      <c r="AC57" s="84">
        <f t="shared" si="21"/>
        <v>0</v>
      </c>
      <c r="AD57" s="84">
        <f t="shared" si="21"/>
        <v>0</v>
      </c>
      <c r="AE57" s="84">
        <f t="shared" si="21"/>
        <v>0</v>
      </c>
      <c r="AF57" s="84">
        <f t="shared" si="21"/>
        <v>0</v>
      </c>
      <c r="AG57" s="84">
        <f t="shared" si="21"/>
        <v>0</v>
      </c>
      <c r="AH57" s="84">
        <f t="shared" si="21"/>
        <v>0</v>
      </c>
      <c r="AI57" s="84">
        <f t="shared" si="21"/>
        <v>0</v>
      </c>
      <c r="AJ57" s="84">
        <f t="shared" si="21"/>
        <v>0</v>
      </c>
      <c r="AK57" s="84">
        <f t="shared" si="21"/>
        <v>0</v>
      </c>
      <c r="AL57" s="84">
        <f t="shared" si="21"/>
        <v>0</v>
      </c>
      <c r="AM57" s="84">
        <f t="shared" si="21"/>
        <v>0</v>
      </c>
      <c r="AN57" s="79">
        <f t="shared" ref="AN57:AN65" si="22">IF(AA57=0,0,AA57/(AB57/100))</f>
        <v>0</v>
      </c>
    </row>
    <row r="58" spans="1:41" s="58" customFormat="1" ht="20.100000000000001" customHeight="1">
      <c r="B58" s="146" t="str">
        <f>B52</f>
        <v>Mistura mineral</v>
      </c>
      <c r="C58" s="63">
        <f>IF(D34&gt;0,0.86*J40,"")</f>
        <v>0</v>
      </c>
      <c r="D58" s="63">
        <f>IF(D34&gt;0,0.95*N40,"")</f>
        <v>0</v>
      </c>
      <c r="E58" s="63" t="str">
        <f>IF(D34&gt;0,IF(K40&gt;0,IF(C34="Volumoso",3.38+0.883*K40-0.834*L40+0.0065*(L40^2)-0.197*M40,-1.19-10.16*Q40+1.012*K40-0.052*L40),"0"),"")</f>
        <v>0</v>
      </c>
      <c r="F58" s="63" t="str">
        <f>IF(D34&gt;0,IF(K40&gt;0,K40-E58,"0"),"")</f>
        <v>0</v>
      </c>
      <c r="G58" s="63">
        <f>IF(D34&gt;0,IF(K40&gt;0,IF(C34="Volumoso",(($G$62/($G$62+H71))*31.95)*1.12,(($G$62/($G$62+H71))*8.64)*1.12),0),"")</f>
        <v>0</v>
      </c>
      <c r="H58" s="63">
        <f>IF(D34&gt;0,IF(G40&gt;0,IF(C34="Volumoso",$U$25*(G40-O40)+($G$62/($G$62+H71))*(1.14*(1-EXP(-(0.8188+1.1676*0.57)))),$U$25*(G40-O40)+($G$62/($G$62+H71))*(0.99*(1-EXP(-(0.8188+1.1676*0.44))))),0),"")</f>
        <v>0</v>
      </c>
      <c r="I58" s="63">
        <f>IF(D34&gt;0,IF(F71=0,0,IF(I71&gt;0,I71,0)),"")</f>
        <v>0</v>
      </c>
      <c r="J58" s="63">
        <f>IF(J71&gt;0,J71,0)</f>
        <v>0</v>
      </c>
      <c r="K58" s="63">
        <f>IF(K71&gt;0,K71,0)</f>
        <v>0</v>
      </c>
      <c r="L58" s="64"/>
      <c r="Q58" s="80" t="s">
        <v>100</v>
      </c>
      <c r="R58" s="81"/>
      <c r="S58" s="82"/>
      <c r="T58" s="79"/>
      <c r="U58" s="79"/>
      <c r="V58" s="79"/>
      <c r="W58" s="79"/>
      <c r="X58" s="79">
        <v>3</v>
      </c>
      <c r="Y58" s="83">
        <f t="shared" si="20"/>
        <v>0</v>
      </c>
      <c r="Z58" s="83">
        <f t="shared" si="20"/>
        <v>0</v>
      </c>
      <c r="AA58" s="84">
        <f t="shared" si="21"/>
        <v>0</v>
      </c>
      <c r="AB58" s="84">
        <f t="shared" si="21"/>
        <v>0</v>
      </c>
      <c r="AC58" s="84">
        <f t="shared" si="21"/>
        <v>0</v>
      </c>
      <c r="AD58" s="84">
        <f t="shared" si="21"/>
        <v>0</v>
      </c>
      <c r="AE58" s="84">
        <f t="shared" si="21"/>
        <v>0</v>
      </c>
      <c r="AF58" s="84">
        <f t="shared" si="21"/>
        <v>0</v>
      </c>
      <c r="AG58" s="84">
        <f t="shared" si="21"/>
        <v>0</v>
      </c>
      <c r="AH58" s="84">
        <f t="shared" si="21"/>
        <v>0</v>
      </c>
      <c r="AI58" s="84">
        <f t="shared" si="21"/>
        <v>0</v>
      </c>
      <c r="AJ58" s="84">
        <f t="shared" si="21"/>
        <v>0</v>
      </c>
      <c r="AK58" s="84">
        <f t="shared" si="21"/>
        <v>0</v>
      </c>
      <c r="AL58" s="84">
        <f t="shared" si="21"/>
        <v>0</v>
      </c>
      <c r="AM58" s="84">
        <f t="shared" si="21"/>
        <v>0</v>
      </c>
      <c r="AN58" s="79">
        <f t="shared" si="22"/>
        <v>0</v>
      </c>
    </row>
    <row r="59" spans="1:41" s="58" customFormat="1" ht="20.100000000000001" customHeight="1" thickBot="1"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4"/>
      <c r="Q59" s="85" t="s">
        <v>101</v>
      </c>
      <c r="R59" s="86"/>
      <c r="S59" s="87"/>
      <c r="T59" s="79"/>
      <c r="U59" s="79"/>
      <c r="V59" s="79"/>
      <c r="W59" s="79"/>
      <c r="X59" s="79">
        <v>4</v>
      </c>
      <c r="Y59" s="83">
        <f t="shared" si="20"/>
        <v>0</v>
      </c>
      <c r="Z59" s="83">
        <f t="shared" si="20"/>
        <v>0</v>
      </c>
      <c r="AA59" s="84">
        <f t="shared" si="21"/>
        <v>0</v>
      </c>
      <c r="AB59" s="84">
        <f t="shared" si="21"/>
        <v>0</v>
      </c>
      <c r="AC59" s="84">
        <f t="shared" si="21"/>
        <v>0</v>
      </c>
      <c r="AD59" s="84">
        <f t="shared" si="21"/>
        <v>0</v>
      </c>
      <c r="AE59" s="84">
        <f t="shared" si="21"/>
        <v>0</v>
      </c>
      <c r="AF59" s="84">
        <f t="shared" si="21"/>
        <v>0</v>
      </c>
      <c r="AG59" s="84">
        <f t="shared" si="21"/>
        <v>0</v>
      </c>
      <c r="AH59" s="84">
        <f t="shared" si="21"/>
        <v>0</v>
      </c>
      <c r="AI59" s="84">
        <f t="shared" si="21"/>
        <v>0</v>
      </c>
      <c r="AJ59" s="84">
        <f t="shared" si="21"/>
        <v>0</v>
      </c>
      <c r="AK59" s="84">
        <f t="shared" si="21"/>
        <v>0</v>
      </c>
      <c r="AL59" s="84">
        <f t="shared" si="21"/>
        <v>0</v>
      </c>
      <c r="AM59" s="84">
        <f t="shared" si="21"/>
        <v>0</v>
      </c>
      <c r="AN59" s="79">
        <f t="shared" si="22"/>
        <v>0</v>
      </c>
    </row>
    <row r="60" spans="1:41" s="58" customFormat="1" ht="20.100000000000001" customHeight="1"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4"/>
      <c r="T60" s="79"/>
      <c r="U60" s="79"/>
      <c r="V60" s="79"/>
      <c r="W60" s="79"/>
      <c r="X60" s="79">
        <v>5</v>
      </c>
      <c r="Y60" s="83">
        <f t="shared" si="20"/>
        <v>0</v>
      </c>
      <c r="Z60" s="83">
        <f t="shared" si="20"/>
        <v>0</v>
      </c>
      <c r="AA60" s="84">
        <f t="shared" si="21"/>
        <v>0</v>
      </c>
      <c r="AB60" s="84">
        <f t="shared" si="21"/>
        <v>0</v>
      </c>
      <c r="AC60" s="84">
        <f t="shared" si="21"/>
        <v>0</v>
      </c>
      <c r="AD60" s="84">
        <f t="shared" si="21"/>
        <v>0</v>
      </c>
      <c r="AE60" s="84">
        <f t="shared" si="21"/>
        <v>0</v>
      </c>
      <c r="AF60" s="84">
        <f t="shared" si="21"/>
        <v>0</v>
      </c>
      <c r="AG60" s="84">
        <f t="shared" si="21"/>
        <v>0</v>
      </c>
      <c r="AH60" s="84">
        <f t="shared" si="21"/>
        <v>0</v>
      </c>
      <c r="AI60" s="84">
        <f t="shared" si="21"/>
        <v>0</v>
      </c>
      <c r="AJ60" s="84">
        <f t="shared" si="21"/>
        <v>0</v>
      </c>
      <c r="AK60" s="84">
        <f t="shared" si="21"/>
        <v>0</v>
      </c>
      <c r="AL60" s="84">
        <f t="shared" si="21"/>
        <v>0</v>
      </c>
      <c r="AM60" s="84">
        <f t="shared" si="21"/>
        <v>0</v>
      </c>
      <c r="AN60" s="79">
        <f t="shared" si="22"/>
        <v>0</v>
      </c>
    </row>
    <row r="61" spans="1:41" s="58" customFormat="1" ht="20.100000000000001" customHeight="1" thickBot="1">
      <c r="B61" s="63"/>
      <c r="C61" s="63"/>
      <c r="D61" s="63"/>
      <c r="E61" s="63"/>
      <c r="F61" s="63" t="s">
        <v>60</v>
      </c>
      <c r="G61" s="63" t="s">
        <v>61</v>
      </c>
      <c r="H61" s="65" t="s">
        <v>45</v>
      </c>
      <c r="I61" s="65" t="s">
        <v>53</v>
      </c>
      <c r="J61" s="65" t="s">
        <v>54</v>
      </c>
      <c r="K61" s="65" t="s">
        <v>55</v>
      </c>
      <c r="L61" s="64"/>
      <c r="N61" s="79"/>
      <c r="O61" s="79"/>
      <c r="P61" s="79"/>
      <c r="Q61" s="89" t="s">
        <v>77</v>
      </c>
      <c r="R61" s="89"/>
      <c r="S61" s="89"/>
      <c r="T61" s="90"/>
      <c r="U61" s="79"/>
      <c r="V61" s="79"/>
      <c r="W61" s="79"/>
      <c r="X61" s="79">
        <v>6</v>
      </c>
      <c r="Y61" s="83" t="str">
        <f t="shared" si="20"/>
        <v>Silagem de milho</v>
      </c>
      <c r="Z61" s="83" t="str">
        <f t="shared" si="20"/>
        <v>Volumoso</v>
      </c>
      <c r="AA61" s="84">
        <f t="shared" si="21"/>
        <v>0</v>
      </c>
      <c r="AB61" s="84">
        <f t="shared" si="21"/>
        <v>0</v>
      </c>
      <c r="AC61" s="84">
        <f t="shared" si="21"/>
        <v>0</v>
      </c>
      <c r="AD61" s="84">
        <f t="shared" si="21"/>
        <v>0</v>
      </c>
      <c r="AE61" s="84">
        <f t="shared" si="21"/>
        <v>0</v>
      </c>
      <c r="AF61" s="84">
        <f t="shared" si="21"/>
        <v>0</v>
      </c>
      <c r="AG61" s="84">
        <f t="shared" si="21"/>
        <v>0</v>
      </c>
      <c r="AH61" s="84">
        <f t="shared" si="21"/>
        <v>0</v>
      </c>
      <c r="AI61" s="84">
        <f t="shared" si="21"/>
        <v>0</v>
      </c>
      <c r="AJ61" s="84">
        <f t="shared" si="21"/>
        <v>0</v>
      </c>
      <c r="AK61" s="84">
        <f t="shared" si="21"/>
        <v>0</v>
      </c>
      <c r="AL61" s="84">
        <f t="shared" si="21"/>
        <v>0</v>
      </c>
      <c r="AM61" s="84">
        <f t="shared" si="21"/>
        <v>0</v>
      </c>
      <c r="AN61" s="79">
        <f t="shared" si="22"/>
        <v>0</v>
      </c>
    </row>
    <row r="62" spans="1:41" s="58" customFormat="1" ht="20.100000000000001" customHeight="1">
      <c r="B62" s="63"/>
      <c r="C62" s="63"/>
      <c r="D62" s="63"/>
      <c r="E62" s="63"/>
      <c r="F62" s="67">
        <f t="shared" ref="F62:F69" si="23">IF(D25&gt;0,C43+D43+E43,0)</f>
        <v>0</v>
      </c>
      <c r="G62" s="73">
        <f>0.00329*C21</f>
        <v>8.2262722029788043E-2</v>
      </c>
      <c r="H62" s="72" t="str">
        <f t="shared" ref="H62:H67" si="24">IF(D25&gt;0,IF(K25&gt;0,IF(C25="Volumoso",0.287/F43,1.8*$H$68),0),"")</f>
        <v/>
      </c>
      <c r="I62" s="67" t="str">
        <f t="shared" ref="I62:I69" si="25">IF(D25&gt;0,H43+D43+G43+2.25*C43-7.13,"")</f>
        <v/>
      </c>
      <c r="J62" s="72" t="str">
        <f t="shared" ref="J62:J69" si="26">IF(D25&gt;0,0.056*H43+0.042*D43+0.042*G43+0.094*2.95-0.322,"")</f>
        <v/>
      </c>
      <c r="K62" s="67" t="str">
        <f t="shared" ref="K62:K71" si="27">IF(D25&gt;0,0.9455*J62-0.303,"")</f>
        <v/>
      </c>
      <c r="L62" s="64"/>
      <c r="N62" s="79"/>
      <c r="O62" s="79"/>
      <c r="P62" s="79"/>
      <c r="Q62" s="93" t="s">
        <v>78</v>
      </c>
      <c r="R62" s="94"/>
      <c r="S62" s="95"/>
      <c r="T62" s="90"/>
      <c r="U62" s="79"/>
      <c r="V62" s="79"/>
      <c r="W62" s="79"/>
      <c r="X62" s="79">
        <v>7</v>
      </c>
      <c r="Y62" s="83" t="str">
        <f t="shared" si="20"/>
        <v>Milho</v>
      </c>
      <c r="Z62" s="83" t="str">
        <f t="shared" si="20"/>
        <v>Concentrado</v>
      </c>
      <c r="AA62" s="84">
        <f t="shared" si="21"/>
        <v>43.215000000000003</v>
      </c>
      <c r="AB62" s="84">
        <f t="shared" si="21"/>
        <v>87.64</v>
      </c>
      <c r="AC62" s="84">
        <f t="shared" si="21"/>
        <v>97.6</v>
      </c>
      <c r="AD62" s="84">
        <f t="shared" si="21"/>
        <v>9.11</v>
      </c>
      <c r="AE62" s="84">
        <f t="shared" si="21"/>
        <v>0</v>
      </c>
      <c r="AF62" s="84">
        <f t="shared" si="21"/>
        <v>0</v>
      </c>
      <c r="AG62" s="84">
        <f t="shared" si="21"/>
        <v>4.07</v>
      </c>
      <c r="AH62" s="84">
        <f t="shared" si="21"/>
        <v>10.19</v>
      </c>
      <c r="AI62" s="84">
        <f t="shared" si="21"/>
        <v>4.18</v>
      </c>
      <c r="AJ62" s="84">
        <f t="shared" si="21"/>
        <v>1.1599999999999999</v>
      </c>
      <c r="AK62" s="84">
        <f t="shared" si="21"/>
        <v>74.23</v>
      </c>
      <c r="AL62" s="84">
        <f t="shared" si="21"/>
        <v>0.87</v>
      </c>
      <c r="AM62" s="84">
        <f t="shared" si="21"/>
        <v>0.35</v>
      </c>
      <c r="AN62" s="79">
        <f t="shared" si="22"/>
        <v>49.309675947056142</v>
      </c>
    </row>
    <row r="63" spans="1:41" s="58" customFormat="1" ht="20.100000000000001" customHeight="1">
      <c r="B63" s="63"/>
      <c r="C63" s="63"/>
      <c r="D63" s="63"/>
      <c r="E63" s="63"/>
      <c r="F63" s="67">
        <f t="shared" si="23"/>
        <v>0</v>
      </c>
      <c r="G63" s="63"/>
      <c r="H63" s="72" t="str">
        <f t="shared" si="24"/>
        <v/>
      </c>
      <c r="I63" s="67" t="str">
        <f t="shared" si="25"/>
        <v/>
      </c>
      <c r="J63" s="72" t="str">
        <f t="shared" si="26"/>
        <v/>
      </c>
      <c r="K63" s="67" t="str">
        <f t="shared" si="27"/>
        <v/>
      </c>
      <c r="L63" s="64"/>
      <c r="N63" s="79"/>
      <c r="O63" s="79"/>
      <c r="P63" s="79"/>
      <c r="Q63" s="96" t="s">
        <v>79</v>
      </c>
      <c r="R63" s="97"/>
      <c r="S63" s="82"/>
      <c r="T63" s="90"/>
      <c r="U63" s="79"/>
      <c r="V63" s="79"/>
      <c r="W63" s="79"/>
      <c r="X63" s="79">
        <v>8</v>
      </c>
      <c r="Y63" s="83" t="str">
        <f t="shared" si="20"/>
        <v>F. Soja</v>
      </c>
      <c r="Z63" s="83" t="str">
        <f t="shared" si="20"/>
        <v>Concentrado</v>
      </c>
      <c r="AA63" s="84">
        <f t="shared" si="21"/>
        <v>5.0350000000000001</v>
      </c>
      <c r="AB63" s="84">
        <f t="shared" si="21"/>
        <v>88.61</v>
      </c>
      <c r="AC63" s="84">
        <f t="shared" si="21"/>
        <v>92.85</v>
      </c>
      <c r="AD63" s="84">
        <f t="shared" si="21"/>
        <v>48.78</v>
      </c>
      <c r="AE63" s="84">
        <f t="shared" si="21"/>
        <v>0</v>
      </c>
      <c r="AF63" s="84">
        <f t="shared" si="21"/>
        <v>0</v>
      </c>
      <c r="AG63" s="84">
        <f t="shared" si="21"/>
        <v>1.71</v>
      </c>
      <c r="AH63" s="84">
        <f t="shared" si="21"/>
        <v>10.72</v>
      </c>
      <c r="AI63" s="84">
        <f t="shared" si="21"/>
        <v>3.75</v>
      </c>
      <c r="AJ63" s="84">
        <f t="shared" si="21"/>
        <v>1.33</v>
      </c>
      <c r="AK63" s="84">
        <f t="shared" si="21"/>
        <v>31.64</v>
      </c>
      <c r="AL63" s="84">
        <f t="shared" si="21"/>
        <v>2.38</v>
      </c>
      <c r="AM63" s="84">
        <f t="shared" si="21"/>
        <v>1.34</v>
      </c>
      <c r="AN63" s="79">
        <f t="shared" si="22"/>
        <v>5.6822029116352555</v>
      </c>
    </row>
    <row r="64" spans="1:41" s="58" customFormat="1" ht="20.100000000000001" customHeight="1">
      <c r="B64" s="63"/>
      <c r="C64" s="63"/>
      <c r="D64" s="63"/>
      <c r="E64" s="63"/>
      <c r="F64" s="67">
        <f t="shared" si="23"/>
        <v>0</v>
      </c>
      <c r="G64" s="63"/>
      <c r="H64" s="72" t="str">
        <f t="shared" si="24"/>
        <v/>
      </c>
      <c r="I64" s="67" t="str">
        <f t="shared" si="25"/>
        <v/>
      </c>
      <c r="J64" s="72" t="str">
        <f t="shared" si="26"/>
        <v/>
      </c>
      <c r="K64" s="67" t="str">
        <f t="shared" si="27"/>
        <v/>
      </c>
      <c r="L64" s="64"/>
      <c r="N64" s="79"/>
      <c r="O64" s="79"/>
      <c r="P64" s="79"/>
      <c r="Q64" s="96" t="s">
        <v>86</v>
      </c>
      <c r="R64" s="97"/>
      <c r="S64" s="82"/>
      <c r="T64" s="90"/>
      <c r="U64" s="79"/>
      <c r="V64" s="79"/>
      <c r="W64" s="79"/>
      <c r="X64" s="79">
        <v>9</v>
      </c>
      <c r="Y64" s="83" t="str">
        <f t="shared" si="20"/>
        <v>Ureia/SA</v>
      </c>
      <c r="Z64" s="83" t="str">
        <f t="shared" si="20"/>
        <v>Concentrado</v>
      </c>
      <c r="AA64" s="84">
        <f t="shared" si="21"/>
        <v>0.75</v>
      </c>
      <c r="AB64" s="84">
        <f t="shared" si="21"/>
        <v>100</v>
      </c>
      <c r="AC64" s="84">
        <f t="shared" si="21"/>
        <v>100</v>
      </c>
      <c r="AD64" s="84">
        <f t="shared" si="21"/>
        <v>260</v>
      </c>
      <c r="AE64" s="84">
        <f t="shared" si="21"/>
        <v>100</v>
      </c>
      <c r="AF64" s="84">
        <f t="shared" si="21"/>
        <v>260</v>
      </c>
      <c r="AG64" s="84">
        <f>IF($C33="Volumoso",0,J39)</f>
        <v>0</v>
      </c>
      <c r="AH64" s="84">
        <f>IF($C33="Volumoso",0,K39)</f>
        <v>0</v>
      </c>
      <c r="AI64" s="84">
        <f>IF($C33="Volumoso",0,L39)</f>
        <v>0</v>
      </c>
      <c r="AJ64" s="84">
        <f>IF($C33="Volumoso",0,M39)</f>
        <v>0</v>
      </c>
      <c r="AK64" s="84">
        <f>IF($C33="Volumoso",0,N39)</f>
        <v>0</v>
      </c>
      <c r="AL64" s="84">
        <f>IF($C33="Volumoso",0,O39)</f>
        <v>0</v>
      </c>
      <c r="AM64" s="84">
        <f>IF($C33="Volumoso",0,P39)</f>
        <v>0</v>
      </c>
      <c r="AN64" s="79">
        <f t="shared" si="22"/>
        <v>0.75</v>
      </c>
    </row>
    <row r="65" spans="2:40" s="58" customFormat="1" ht="20.100000000000001" customHeight="1">
      <c r="B65" s="63"/>
      <c r="C65" s="63"/>
      <c r="D65" s="63"/>
      <c r="E65" s="63"/>
      <c r="F65" s="67">
        <f t="shared" si="23"/>
        <v>0</v>
      </c>
      <c r="G65" s="63"/>
      <c r="H65" s="72" t="str">
        <f t="shared" si="24"/>
        <v/>
      </c>
      <c r="I65" s="67" t="str">
        <f>IF(D28&gt;0,H46+D46+G46+2.25*C46-7.13,"")</f>
        <v/>
      </c>
      <c r="J65" s="72" t="str">
        <f t="shared" si="26"/>
        <v/>
      </c>
      <c r="K65" s="67" t="str">
        <f t="shared" si="27"/>
        <v/>
      </c>
      <c r="L65" s="64"/>
      <c r="N65" s="79"/>
      <c r="O65" s="79"/>
      <c r="P65" s="79"/>
      <c r="Q65" s="96" t="s">
        <v>87</v>
      </c>
      <c r="R65" s="97"/>
      <c r="S65" s="82"/>
      <c r="T65" s="90"/>
      <c r="U65" s="79"/>
      <c r="V65" s="79"/>
      <c r="W65" s="79"/>
      <c r="X65" s="79">
        <v>10</v>
      </c>
      <c r="Y65" s="83" t="str">
        <f t="shared" si="20"/>
        <v>Mistura mineral</v>
      </c>
      <c r="Z65" s="83" t="str">
        <f t="shared" si="20"/>
        <v>Concentrado</v>
      </c>
      <c r="AA65" s="84">
        <f t="shared" si="21"/>
        <v>1</v>
      </c>
      <c r="AB65" s="84">
        <f t="shared" si="21"/>
        <v>100</v>
      </c>
      <c r="AC65" s="84">
        <f>IF($C34="Volumoso",0,F40)</f>
        <v>0</v>
      </c>
      <c r="AD65" s="84">
        <f>IF($C34="Volumoso",0,G40)</f>
        <v>0</v>
      </c>
      <c r="AE65" s="84">
        <f>IF($C34="Volumoso",0,H40)</f>
        <v>0</v>
      </c>
      <c r="AF65" s="84">
        <f>IF($C34="Volumoso",0,I40)</f>
        <v>0</v>
      </c>
      <c r="AG65" s="84">
        <f>IF($C34="Volumoso",0,J40)</f>
        <v>0</v>
      </c>
      <c r="AH65" s="84">
        <f>IF($C34="Volumoso",0,K40)</f>
        <v>0</v>
      </c>
      <c r="AI65" s="84">
        <f>IF($C34="Volumoso",0,L40)</f>
        <v>0</v>
      </c>
      <c r="AJ65" s="84">
        <f>IF($C34="Volumoso",0,M40)</f>
        <v>0</v>
      </c>
      <c r="AK65" s="84">
        <f>IF($C34="Volumoso",0,N40)</f>
        <v>0</v>
      </c>
      <c r="AL65" s="84">
        <f>IF($C34="Volumoso",0,O40)</f>
        <v>0</v>
      </c>
      <c r="AM65" s="84">
        <f>IF($C34="Volumoso",0,P40)</f>
        <v>0</v>
      </c>
      <c r="AN65" s="79">
        <f t="shared" si="22"/>
        <v>1</v>
      </c>
    </row>
    <row r="66" spans="2:40" s="58" customFormat="1" ht="20.100000000000001" customHeight="1">
      <c r="B66" s="63"/>
      <c r="C66" s="63"/>
      <c r="D66" s="63"/>
      <c r="E66" s="63"/>
      <c r="F66" s="67">
        <f t="shared" si="23"/>
        <v>0</v>
      </c>
      <c r="G66" s="63"/>
      <c r="H66" s="72" t="str">
        <f t="shared" si="24"/>
        <v/>
      </c>
      <c r="I66" s="67" t="str">
        <f t="shared" si="25"/>
        <v/>
      </c>
      <c r="J66" s="72" t="str">
        <f t="shared" si="26"/>
        <v/>
      </c>
      <c r="K66" s="67" t="str">
        <f t="shared" si="27"/>
        <v/>
      </c>
      <c r="L66" s="147"/>
      <c r="N66" s="79"/>
      <c r="O66" s="79"/>
      <c r="P66" s="79"/>
      <c r="Q66" s="96"/>
      <c r="R66" s="97"/>
      <c r="S66" s="82"/>
      <c r="T66" s="90"/>
      <c r="U66" s="79"/>
      <c r="V66" s="79"/>
      <c r="W66" s="79"/>
      <c r="X66" s="79"/>
      <c r="Y66" s="79"/>
      <c r="Z66" s="99" t="s">
        <v>59</v>
      </c>
      <c r="AA66" s="90">
        <f>SUM(AA56:AA65)</f>
        <v>50</v>
      </c>
      <c r="AB66" s="100">
        <f t="shared" ref="AB66:AM66" si="28">($AA$56/$AA$66*AB56)+($AA$57/$AA$66*AB57)+($AA$58/$AA$66*AB58)+($AA$59/$AA$66*AB59)+($AA$60/$AA$66*AB60)+($AA$61/$AA$66*AB61)+($AA$62/$AA$66*AB62)+($AA$63/$AA$66*AB63)+($AA$64/$AA$66*AB64)+($AA$65/$AA$66*AB65)</f>
        <v>88.170279000000008</v>
      </c>
      <c r="AC66" s="100">
        <f t="shared" si="28"/>
        <v>95.205675000000014</v>
      </c>
      <c r="AD66" s="100">
        <f t="shared" si="28"/>
        <v>16.685918999999998</v>
      </c>
      <c r="AE66" s="100">
        <f t="shared" si="28"/>
        <v>1.5</v>
      </c>
      <c r="AF66" s="100">
        <f t="shared" si="28"/>
        <v>3.9</v>
      </c>
      <c r="AG66" s="100">
        <f t="shared" si="28"/>
        <v>3.6898980000000008</v>
      </c>
      <c r="AH66" s="100">
        <f t="shared" si="28"/>
        <v>9.8867209999999996</v>
      </c>
      <c r="AI66" s="100">
        <f t="shared" si="28"/>
        <v>3.990399</v>
      </c>
      <c r="AJ66" s="100">
        <f t="shared" si="28"/>
        <v>1.1365190000000001</v>
      </c>
      <c r="AK66" s="100">
        <f t="shared" si="28"/>
        <v>67.343137000000013</v>
      </c>
      <c r="AL66" s="100">
        <f t="shared" si="28"/>
        <v>0.99160700000000013</v>
      </c>
      <c r="AM66" s="100">
        <f t="shared" si="28"/>
        <v>0.43744300000000003</v>
      </c>
      <c r="AN66" s="92">
        <f>SUM(AN56:AN65)</f>
        <v>56.7418788586914</v>
      </c>
    </row>
    <row r="67" spans="2:40" s="79" customFormat="1" ht="20.100000000000001" customHeight="1">
      <c r="B67" s="63"/>
      <c r="C67" s="63"/>
      <c r="D67" s="63"/>
      <c r="E67" s="63"/>
      <c r="F67" s="67">
        <f t="shared" si="23"/>
        <v>65.591826650000002</v>
      </c>
      <c r="G67" s="63"/>
      <c r="H67" s="73">
        <f t="shared" si="24"/>
        <v>1.4481584491819516E-2</v>
      </c>
      <c r="I67" s="67">
        <f>IF(D30&gt;0,H48+D48+G48+2.25*C48-7.13,"")</f>
        <v>66.898265724767413</v>
      </c>
      <c r="J67" s="72">
        <f t="shared" si="26"/>
        <v>2.8995650116513749</v>
      </c>
      <c r="K67" s="67">
        <f t="shared" si="27"/>
        <v>2.4385387185163752</v>
      </c>
      <c r="L67" s="63"/>
      <c r="Q67" s="101" t="s">
        <v>80</v>
      </c>
      <c r="S67" s="82"/>
    </row>
    <row r="68" spans="2:40" s="79" customFormat="1" ht="20.100000000000001" customHeight="1">
      <c r="B68" s="63"/>
      <c r="C68" s="63"/>
      <c r="D68" s="63"/>
      <c r="E68" s="63"/>
      <c r="F68" s="67">
        <f t="shared" si="23"/>
        <v>82.923620000000014</v>
      </c>
      <c r="G68" s="63"/>
      <c r="H68" s="72">
        <f>AE49</f>
        <v>1.4481584491819516E-2</v>
      </c>
      <c r="I68" s="67">
        <f>IF(D31&gt;0,H49+D49+G49+2.25*C49-7.13,"")</f>
        <v>87.939971207653798</v>
      </c>
      <c r="J68" s="72">
        <f t="shared" si="26"/>
        <v>3.7357381712403939</v>
      </c>
      <c r="K68" s="67">
        <f t="shared" si="27"/>
        <v>3.2291404409077926</v>
      </c>
      <c r="L68" s="63"/>
      <c r="Q68" s="102" t="s">
        <v>91</v>
      </c>
      <c r="R68" s="103"/>
      <c r="S68" s="104"/>
      <c r="AE68" s="88" t="s">
        <v>43</v>
      </c>
      <c r="AH68" s="88"/>
      <c r="AI68" s="90"/>
      <c r="AJ68" s="105"/>
    </row>
    <row r="69" spans="2:40" s="79" customFormat="1" ht="20.100000000000001" customHeight="1">
      <c r="B69" s="63"/>
      <c r="C69" s="63"/>
      <c r="D69" s="63"/>
      <c r="E69" s="63"/>
      <c r="F69" s="67">
        <f t="shared" si="23"/>
        <v>40.992240000000002</v>
      </c>
      <c r="G69" s="63"/>
      <c r="H69" s="72">
        <f>H68*1.8</f>
        <v>2.6066852085275129E-2</v>
      </c>
      <c r="I69" s="67">
        <f t="shared" si="25"/>
        <v>78.218622741335992</v>
      </c>
      <c r="J69" s="72">
        <f t="shared" si="26"/>
        <v>4.0258388539353138</v>
      </c>
      <c r="K69" s="67">
        <f t="shared" si="27"/>
        <v>3.5034306363958394</v>
      </c>
      <c r="L69" s="63"/>
      <c r="Q69" s="102"/>
      <c r="R69" s="103"/>
      <c r="S69" s="104"/>
      <c r="AE69" s="106">
        <f t="shared" ref="AE69:AE78" si="29">IF(AH56=0,0,-1.19-10.16*Q25+1.012*AH56-0.052*AI56)</f>
        <v>0</v>
      </c>
      <c r="AH69" s="100"/>
      <c r="AI69" s="90"/>
    </row>
    <row r="70" spans="2:40" s="79" customFormat="1" ht="20.100000000000001" customHeight="1">
      <c r="B70" s="63"/>
      <c r="C70" s="63"/>
      <c r="D70" s="63"/>
      <c r="E70" s="63"/>
      <c r="F70" s="67">
        <f>IF(D33&gt;0,C57+D57+E57,0)</f>
        <v>0</v>
      </c>
      <c r="G70" s="63"/>
      <c r="H70" s="72">
        <f>(D36/100)*H68+(D37/100)*H69</f>
        <v>2.0274218288547322E-2</v>
      </c>
      <c r="I70" s="67">
        <f>IF(D33&gt;0,H51+D57+G57+2.25*C57-7.13,"")</f>
        <v>240.45472358448527</v>
      </c>
      <c r="J70" s="72">
        <f>IF(D33&gt;0,0.056*H51+0.042*D57+0.042*G57+0.094*2.95-0.322,"")</f>
        <v>13.820044520731177</v>
      </c>
      <c r="K70" s="67">
        <f t="shared" si="27"/>
        <v>12.763852094351327</v>
      </c>
      <c r="L70" s="63"/>
      <c r="N70" s="107"/>
      <c r="O70" s="108"/>
      <c r="P70" s="81"/>
      <c r="Q70" s="102"/>
      <c r="R70" s="103"/>
      <c r="S70" s="104"/>
      <c r="AE70" s="106">
        <f>IF(AH57=0,0,-1.19-10.16*Q26+1.012*AH57-0.052*AI57)</f>
        <v>0</v>
      </c>
      <c r="AH70" s="100"/>
    </row>
    <row r="71" spans="2:40" s="79" customFormat="1" ht="20.100000000000001" customHeight="1">
      <c r="B71" s="63"/>
      <c r="C71" s="63"/>
      <c r="D71" s="63"/>
      <c r="E71" s="63"/>
      <c r="F71" s="67">
        <f>IF(D34&gt;0,C58+D58+E58,0)</f>
        <v>0</v>
      </c>
      <c r="G71" s="63"/>
      <c r="H71" s="73">
        <f>IF(D34&gt;0,IF(K40&gt;0,IF(C34="Volumoso",0.287/F58,1.8*$H$68),0),"")</f>
        <v>0</v>
      </c>
      <c r="I71" s="67">
        <f>IF(D34&gt;0,H58+D58+G58+2.25*C58-7.13,"")</f>
        <v>-7.13</v>
      </c>
      <c r="J71" s="72">
        <f>IF(D34&gt;0,0.056*H58+0.042*D58+0.042*G58+0.094*2.95-0.322,"")</f>
        <v>-4.4700000000000017E-2</v>
      </c>
      <c r="K71" s="67">
        <f t="shared" si="27"/>
        <v>-0.34526385000000004</v>
      </c>
      <c r="L71" s="63"/>
      <c r="N71" s="109"/>
      <c r="O71" s="109"/>
      <c r="P71" s="109"/>
      <c r="Q71" s="110"/>
      <c r="R71" s="111"/>
      <c r="S71" s="112"/>
      <c r="AE71" s="106">
        <f t="shared" si="29"/>
        <v>0</v>
      </c>
      <c r="AH71" s="100"/>
    </row>
    <row r="72" spans="2:40" s="79" customFormat="1" ht="20.100000000000001" customHeight="1"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N72" s="81"/>
      <c r="Q72" s="101" t="s">
        <v>81</v>
      </c>
      <c r="R72" s="111"/>
      <c r="S72" s="112"/>
      <c r="AE72" s="106">
        <f t="shared" si="29"/>
        <v>0</v>
      </c>
      <c r="AH72" s="100"/>
    </row>
    <row r="73" spans="2:40" s="79" customFormat="1" ht="20.100000000000001" customHeight="1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N73" s="113"/>
      <c r="O73" s="113"/>
      <c r="P73" s="113"/>
      <c r="Q73" s="96" t="s">
        <v>82</v>
      </c>
      <c r="R73" s="111"/>
      <c r="S73" s="112"/>
      <c r="AE73" s="106">
        <f t="shared" si="29"/>
        <v>0</v>
      </c>
      <c r="AH73" s="100"/>
    </row>
    <row r="74" spans="2:40" s="79" customFormat="1" ht="20.100000000000001" customHeight="1"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N74" s="113"/>
      <c r="O74" s="113"/>
      <c r="P74" s="113"/>
      <c r="Q74" s="96" t="s">
        <v>83</v>
      </c>
      <c r="R74" s="97"/>
      <c r="S74" s="82"/>
      <c r="AE74" s="106">
        <f t="shared" si="29"/>
        <v>0</v>
      </c>
      <c r="AH74" s="100"/>
    </row>
    <row r="75" spans="2:40" s="79" customFormat="1" ht="20.100000000000001" customHeight="1"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N75" s="113"/>
      <c r="O75" s="113"/>
      <c r="P75" s="113"/>
      <c r="Q75" s="96" t="s">
        <v>84</v>
      </c>
      <c r="R75" s="97"/>
      <c r="S75" s="82"/>
      <c r="AE75" s="106">
        <f t="shared" si="29"/>
        <v>8.9049200000000006</v>
      </c>
      <c r="AH75" s="100"/>
    </row>
    <row r="76" spans="2:40" s="79" customFormat="1" ht="20.100000000000001" customHeight="1" thickBot="1"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N76" s="113"/>
      <c r="O76" s="113"/>
      <c r="P76" s="113"/>
      <c r="Q76" s="114" t="s">
        <v>85</v>
      </c>
      <c r="R76" s="115"/>
      <c r="S76" s="87"/>
      <c r="AE76" s="106">
        <f t="shared" si="29"/>
        <v>9.4636400000000016</v>
      </c>
      <c r="AH76" s="100"/>
    </row>
    <row r="77" spans="2:40" s="79" customFormat="1" ht="20.100000000000001" hidden="1" customHeight="1"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N77" s="113"/>
      <c r="O77" s="113"/>
      <c r="P77" s="113"/>
      <c r="AE77" s="106">
        <f>IF(AH64=0,0,-1.19-10.16*Q39+1.012*AH64-0.052*AI64)</f>
        <v>0</v>
      </c>
      <c r="AH77" s="100"/>
    </row>
    <row r="78" spans="2:40" s="79" customFormat="1" hidden="1"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R78" s="97"/>
      <c r="AE78" s="106">
        <f>IF(AH65=0,0,-1.19-10.16*Q40+1.012*AH65-0.052*AI65)</f>
        <v>0</v>
      </c>
      <c r="AH78" s="100"/>
    </row>
    <row r="79" spans="2:40" s="79" customFormat="1" hidden="1"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N79" s="109"/>
      <c r="O79" s="109"/>
      <c r="P79" s="109"/>
      <c r="R79" s="97"/>
      <c r="AD79" s="79" t="s">
        <v>62</v>
      </c>
      <c r="AE79" s="100">
        <f>($AA$56/$AA$66*AE69)+($AA$57/$AA$66*AE70)+($AA$58/$AA$66*AE71)+($AA$59/$AA$66*AE72)+($AA$60/$AA$66*AE73)+($AA$61/$AA$66*AE74)+($AA$62/$AA$66*AE75)+($AA$63/$AA$66*AE76)+($AA$64/$AA$66*AE77)+($AA$65/$AA$66*AE78)</f>
        <v>8.6495109040000013</v>
      </c>
      <c r="AH79" s="91"/>
    </row>
    <row r="80" spans="2:40" s="79" customFormat="1" hidden="1">
      <c r="B80" s="63"/>
      <c r="C80" s="63"/>
      <c r="D80" s="63"/>
      <c r="E80" s="63"/>
      <c r="F80" s="63"/>
      <c r="G80" s="63"/>
      <c r="H80" s="67"/>
      <c r="I80" s="63"/>
      <c r="J80" s="63"/>
      <c r="K80" s="63"/>
      <c r="L80" s="63"/>
      <c r="N80" s="116"/>
      <c r="O80" s="116"/>
      <c r="P80" s="116"/>
      <c r="Q80" s="116"/>
      <c r="R80" s="117"/>
      <c r="S80" s="117"/>
    </row>
    <row r="81" spans="2:17" s="79" customFormat="1" hidden="1"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N81" s="116"/>
      <c r="O81" s="116"/>
      <c r="P81" s="116"/>
      <c r="Q81" s="116"/>
    </row>
    <row r="82" spans="2:17" s="79" customFormat="1" hidden="1"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N82" s="116"/>
      <c r="O82" s="116"/>
      <c r="P82" s="116"/>
      <c r="Q82" s="116"/>
    </row>
    <row r="83" spans="2:17" s="79" customFormat="1" hidden="1"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N83" s="116"/>
      <c r="O83" s="116"/>
      <c r="P83" s="116"/>
      <c r="Q83" s="116"/>
    </row>
    <row r="84" spans="2:17" s="79" customFormat="1" hidden="1"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N84" s="116"/>
      <c r="O84" s="116"/>
      <c r="P84" s="116"/>
      <c r="Q84" s="116"/>
    </row>
    <row r="85" spans="2:17" s="79" customFormat="1" hidden="1"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</row>
    <row r="86" spans="2:17" s="79" customFormat="1" hidden="1"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N86" s="109"/>
      <c r="O86" s="109"/>
      <c r="P86" s="109"/>
      <c r="Q86" s="109"/>
    </row>
    <row r="87" spans="2:17" s="79" customFormat="1" hidden="1"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N87" s="113"/>
      <c r="O87" s="113"/>
      <c r="P87" s="113"/>
      <c r="Q87" s="113"/>
    </row>
    <row r="88" spans="2:17" s="79" customFormat="1" hidden="1">
      <c r="B88" s="148" t="str">
        <f t="shared" ref="B88:B97" si="30">IF(B25=0,"",B25)</f>
        <v/>
      </c>
      <c r="C88" s="67" t="str">
        <f t="shared" ref="C88:C97" si="31">IF(D25&gt;0,0.86*J25,"")</f>
        <v/>
      </c>
      <c r="D88" s="67" t="str">
        <f t="shared" ref="D88:D97" si="32">IF(D25&gt;0,0.95*N25,"")</f>
        <v/>
      </c>
      <c r="E88" s="67" t="str">
        <f t="shared" ref="E88:E97" si="33">IF(D25&gt;0,IF(K25=0,0,IF(C25="Volumoso",3.38+0.883*K25-0.834*L25+0.0065*(L25^2)-0.197*M25,-1.19-10.16*Q25+1.012*K25-0.052*L25)),"")</f>
        <v/>
      </c>
      <c r="F88" s="67" t="str">
        <f t="shared" ref="F88:F97" si="34">IF(D25&gt;0,K25-E88,"")</f>
        <v/>
      </c>
      <c r="G88" s="67"/>
      <c r="H88" s="67" t="str">
        <f t="shared" ref="H88:H93" si="35">IF(D25&gt;0,$U$25*(G25-O25)+$V$25*O25*(1-EXP(-0.8188-1.1676*P25))/100,"")</f>
        <v/>
      </c>
      <c r="I88" s="67"/>
      <c r="J88" s="67"/>
      <c r="K88" s="67"/>
      <c r="L88" s="63"/>
      <c r="N88" s="113"/>
      <c r="O88" s="113"/>
      <c r="P88" s="113"/>
      <c r="Q88" s="113"/>
    </row>
    <row r="89" spans="2:17" s="79" customFormat="1" hidden="1">
      <c r="B89" s="148" t="str">
        <f t="shared" si="30"/>
        <v/>
      </c>
      <c r="C89" s="67" t="str">
        <f t="shared" si="31"/>
        <v/>
      </c>
      <c r="D89" s="67" t="str">
        <f t="shared" si="32"/>
        <v/>
      </c>
      <c r="E89" s="67" t="str">
        <f t="shared" si="33"/>
        <v/>
      </c>
      <c r="F89" s="67" t="str">
        <f t="shared" si="34"/>
        <v/>
      </c>
      <c r="G89" s="67"/>
      <c r="H89" s="67" t="str">
        <f t="shared" si="35"/>
        <v/>
      </c>
      <c r="I89" s="71"/>
      <c r="J89" s="67"/>
      <c r="K89" s="67"/>
      <c r="L89" s="63"/>
      <c r="N89" s="113"/>
      <c r="O89" s="113"/>
      <c r="P89" s="113"/>
      <c r="Q89" s="113"/>
    </row>
    <row r="90" spans="2:17" s="79" customFormat="1" hidden="1">
      <c r="B90" s="148" t="str">
        <f t="shared" si="30"/>
        <v/>
      </c>
      <c r="C90" s="67" t="str">
        <f t="shared" si="31"/>
        <v/>
      </c>
      <c r="D90" s="67" t="str">
        <f t="shared" si="32"/>
        <v/>
      </c>
      <c r="E90" s="67" t="str">
        <f t="shared" si="33"/>
        <v/>
      </c>
      <c r="F90" s="67" t="str">
        <f t="shared" si="34"/>
        <v/>
      </c>
      <c r="G90" s="67"/>
      <c r="H90" s="67" t="str">
        <f t="shared" si="35"/>
        <v/>
      </c>
      <c r="I90" s="67"/>
      <c r="J90" s="67"/>
      <c r="K90" s="67"/>
      <c r="L90" s="63"/>
      <c r="N90" s="113"/>
      <c r="O90" s="113"/>
      <c r="P90" s="113"/>
      <c r="Q90" s="113"/>
    </row>
    <row r="91" spans="2:17" s="79" customFormat="1" hidden="1">
      <c r="B91" s="148" t="str">
        <f t="shared" si="30"/>
        <v/>
      </c>
      <c r="C91" s="67" t="str">
        <f t="shared" si="31"/>
        <v/>
      </c>
      <c r="D91" s="67" t="str">
        <f t="shared" si="32"/>
        <v/>
      </c>
      <c r="E91" s="67" t="str">
        <f t="shared" si="33"/>
        <v/>
      </c>
      <c r="F91" s="67" t="str">
        <f t="shared" si="34"/>
        <v/>
      </c>
      <c r="G91" s="67"/>
      <c r="H91" s="67" t="str">
        <f t="shared" si="35"/>
        <v/>
      </c>
      <c r="I91" s="71"/>
      <c r="J91" s="67"/>
      <c r="K91" s="67"/>
      <c r="L91" s="63"/>
    </row>
    <row r="92" spans="2:17" s="79" customFormat="1" hidden="1">
      <c r="B92" s="148" t="str">
        <f t="shared" si="30"/>
        <v/>
      </c>
      <c r="C92" s="67" t="str">
        <f t="shared" si="31"/>
        <v/>
      </c>
      <c r="D92" s="67" t="str">
        <f t="shared" si="32"/>
        <v/>
      </c>
      <c r="E92" s="67" t="str">
        <f t="shared" si="33"/>
        <v/>
      </c>
      <c r="F92" s="67" t="str">
        <f t="shared" si="34"/>
        <v/>
      </c>
      <c r="G92" s="67"/>
      <c r="H92" s="67" t="str">
        <f t="shared" si="35"/>
        <v/>
      </c>
      <c r="I92" s="67"/>
      <c r="J92" s="67"/>
      <c r="K92" s="67"/>
      <c r="L92" s="63"/>
    </row>
    <row r="93" spans="2:17" s="79" customFormat="1" hidden="1">
      <c r="B93" s="148" t="str">
        <f t="shared" si="30"/>
        <v>Silagem de milho</v>
      </c>
      <c r="C93" s="67">
        <f t="shared" si="31"/>
        <v>2.7176</v>
      </c>
      <c r="D93" s="67">
        <f t="shared" si="32"/>
        <v>30.922499999999996</v>
      </c>
      <c r="E93" s="67">
        <f t="shared" si="33"/>
        <v>31.951726650000005</v>
      </c>
      <c r="F93" s="67">
        <f t="shared" si="34"/>
        <v>19.818273349999998</v>
      </c>
      <c r="G93" s="67"/>
      <c r="H93" s="67">
        <f t="shared" si="35"/>
        <v>5.8140000000000001</v>
      </c>
      <c r="I93" s="71"/>
      <c r="J93" s="67"/>
      <c r="K93" s="67"/>
      <c r="L93" s="63"/>
    </row>
    <row r="94" spans="2:17" s="79" customFormat="1" hidden="1">
      <c r="B94" s="66" t="s">
        <v>1</v>
      </c>
      <c r="C94" s="67">
        <f>0.86*J36</f>
        <v>2.7176</v>
      </c>
      <c r="D94" s="67">
        <f>0.95*N36</f>
        <v>30.922499999999996</v>
      </c>
      <c r="E94" s="67">
        <f>3.38+0.883*K36-0.834*L36+0.0065*(L36^2)-0.197*M36</f>
        <v>31.951726650000005</v>
      </c>
      <c r="F94" s="67">
        <f>K36-E94</f>
        <v>19.818273349999998</v>
      </c>
      <c r="G94" s="67"/>
      <c r="H94" s="67">
        <f>$U$25*(G36-O36)+$V$25*O36*(1-EXP(-0.8188-1.1676*P36))/100</f>
        <v>5.8140000000000001</v>
      </c>
      <c r="I94" s="67"/>
      <c r="J94" s="67"/>
      <c r="K94" s="67"/>
      <c r="L94" s="63"/>
    </row>
    <row r="95" spans="2:17" s="79" customFormat="1" hidden="1">
      <c r="B95" s="149" t="str">
        <f>C37</f>
        <v>Concentrado:</v>
      </c>
      <c r="C95" s="67">
        <f>0.86*J37</f>
        <v>3.1733122800000007</v>
      </c>
      <c r="D95" s="67">
        <f>0.95*N37</f>
        <v>63.975980150000012</v>
      </c>
      <c r="E95" s="67">
        <f>AE79</f>
        <v>8.6495109040000013</v>
      </c>
      <c r="F95" s="67">
        <f>K37-E95</f>
        <v>1.2372100959999983</v>
      </c>
      <c r="G95" s="67"/>
      <c r="H95" s="67">
        <f>$U$25*(G37-O37)+$V$25*O37*(1-EXP(-0.8188-1.1676*P37))/100</f>
        <v>14.909596399999998</v>
      </c>
      <c r="I95" s="67"/>
      <c r="J95" s="67"/>
      <c r="K95" s="67"/>
      <c r="L95" s="63"/>
    </row>
    <row r="96" spans="2:17" s="79" customFormat="1" hidden="1">
      <c r="B96" s="148" t="str">
        <f t="shared" si="30"/>
        <v>Ureia/SA</v>
      </c>
      <c r="C96" s="67">
        <f>IF(D33&gt;0,0.86*J39,"")</f>
        <v>0</v>
      </c>
      <c r="D96" s="67">
        <f>IF(D33&gt;0,0.95*N39,"")</f>
        <v>0</v>
      </c>
      <c r="E96" s="67">
        <f>IF(D33&gt;0,IF(K39=0,0,IF(C33="Volumoso",3.38+0.883*K39-0.834*L39+0.0065*(L39^2)-0.197*M39,-1.19-10.16*Q39+1.012*K39-0.052*L39)),"")</f>
        <v>0</v>
      </c>
      <c r="F96" s="67">
        <f>IF(D33&gt;0,K39-E96,"")</f>
        <v>0</v>
      </c>
      <c r="G96" s="67"/>
      <c r="H96" s="67">
        <f>IF(D33&gt;0,$U$25*(G33-O39)+$V$25*O39*(1-EXP(-0.8188-1.1676*P39))/100,"")</f>
        <v>247</v>
      </c>
      <c r="I96" s="67"/>
      <c r="J96" s="67"/>
      <c r="K96" s="67"/>
      <c r="L96" s="63"/>
    </row>
    <row r="97" spans="2:21" s="79" customFormat="1" hidden="1">
      <c r="B97" s="148" t="str">
        <f t="shared" si="30"/>
        <v>Mistura mineral</v>
      </c>
      <c r="C97" s="67">
        <f>IF(D34&gt;0,0.86*J40,"")</f>
        <v>0</v>
      </c>
      <c r="D97" s="67">
        <f>IF(D34&gt;0,0.95*N40,"")</f>
        <v>0</v>
      </c>
      <c r="E97" s="67">
        <f>IF(D34&gt;0,IF(K40=0,0,IF(C34="Volumoso",3.38+0.883*K40-0.834*L40+0.0065*(L40^2)-0.197*M40,-1.19-10.16*Q40+1.012*K40-0.052*L40)),"")</f>
        <v>0</v>
      </c>
      <c r="F97" s="67">
        <f>IF(D34&gt;0,K40-E97,"")</f>
        <v>0</v>
      </c>
      <c r="G97" s="67"/>
      <c r="H97" s="67">
        <f>IF(D34&gt;0,$U$25*(G40-O40)+$V$25*O40*(1-EXP(-0.8188-1.1676*P40))/100,"")</f>
        <v>0</v>
      </c>
      <c r="I97" s="71"/>
      <c r="J97" s="67"/>
      <c r="K97" s="67"/>
      <c r="L97" s="63"/>
    </row>
    <row r="98" spans="2:21" s="79" customFormat="1" hidden="1">
      <c r="B98" s="150"/>
      <c r="C98" s="67"/>
      <c r="D98" s="67"/>
      <c r="E98" s="67"/>
      <c r="F98" s="67"/>
      <c r="G98" s="67"/>
      <c r="H98" s="67"/>
      <c r="I98" s="67"/>
      <c r="J98" s="67"/>
      <c r="K98" s="67"/>
      <c r="L98" s="63"/>
    </row>
    <row r="99" spans="2:21" s="79" customFormat="1" hidden="1"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</row>
    <row r="100" spans="2:21" s="79" customFormat="1" hidden="1"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</row>
    <row r="101" spans="2:21" s="79" customFormat="1" hidden="1"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</row>
    <row r="102" spans="2:21" s="79" customFormat="1" hidden="1"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</row>
    <row r="103" spans="2:21" s="79" customFormat="1" hidden="1"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</row>
    <row r="104" spans="2:21" s="58" customFormat="1" hidden="1"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T104" s="79"/>
      <c r="U104" s="79"/>
    </row>
    <row r="105" spans="2:21" s="58" customFormat="1" hidden="1"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T105" s="79"/>
      <c r="U105" s="79"/>
    </row>
    <row r="106" spans="2:21" s="58" customFormat="1" hidden="1"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T106" s="79"/>
      <c r="U106" s="79"/>
    </row>
    <row r="107" spans="2:21" s="58" customFormat="1" hidden="1"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T107" s="79"/>
      <c r="U107" s="79"/>
    </row>
    <row r="108" spans="2:21" s="58" customFormat="1" hidden="1"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T108" s="79"/>
      <c r="U108" s="79"/>
    </row>
    <row r="109" spans="2:21" s="58" customFormat="1" hidden="1"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T109" s="79"/>
      <c r="U109" s="79"/>
    </row>
    <row r="110" spans="2:21" s="58" customFormat="1" hidden="1"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T110" s="79"/>
      <c r="U110" s="79"/>
    </row>
    <row r="111" spans="2:21" s="58" customFormat="1" hidden="1"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T111" s="79"/>
      <c r="U111" s="79"/>
    </row>
    <row r="112" spans="2:21" s="58" customFormat="1" hidden="1"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T112" s="79"/>
      <c r="U112" s="79"/>
    </row>
    <row r="113" spans="4:46" s="58" customFormat="1" hidden="1">
      <c r="T113" s="79"/>
      <c r="U113" s="79"/>
    </row>
    <row r="114" spans="4:46" s="58" customFormat="1" hidden="1">
      <c r="T114" s="79"/>
      <c r="U114" s="79"/>
    </row>
    <row r="115" spans="4:46" s="58" customFormat="1" hidden="1">
      <c r="T115" s="79"/>
      <c r="U115" s="79"/>
    </row>
    <row r="116" spans="4:46" s="58" customFormat="1" hidden="1">
      <c r="T116" s="79"/>
      <c r="U116" s="79"/>
    </row>
    <row r="117" spans="4:46" s="58" customFormat="1" hidden="1">
      <c r="T117" s="79"/>
      <c r="U117" s="79"/>
    </row>
    <row r="118" spans="4:46" s="58" customFormat="1" hidden="1"/>
    <row r="119" spans="4:46" s="58" customFormat="1" hidden="1"/>
    <row r="120" spans="4:46" s="58" customFormat="1" hidden="1"/>
    <row r="121" spans="4:46" s="58" customFormat="1"/>
    <row r="122" spans="4:46" s="58" customFormat="1"/>
    <row r="123" spans="4:46" s="58" customFormat="1"/>
    <row r="124" spans="4:46" s="58" customFormat="1"/>
    <row r="125" spans="4:46" s="58" customFormat="1"/>
    <row r="126" spans="4:46" s="58" customFormat="1"/>
    <row r="127" spans="4:46" s="58" customFormat="1"/>
    <row r="128" spans="4:46" s="8" customFormat="1"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</row>
    <row r="129" spans="4:46" s="8" customFormat="1"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</row>
    <row r="130" spans="4:46" s="8" customFormat="1"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</row>
    <row r="131" spans="4:46" s="8" customFormat="1"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</row>
    <row r="132" spans="4:46" s="8" customFormat="1"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</row>
    <row r="133" spans="4:46" s="8" customFormat="1"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</row>
    <row r="134" spans="4:46" s="8" customFormat="1"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</row>
    <row r="135" spans="4:46" s="8" customFormat="1"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</row>
    <row r="136" spans="4:46" s="8" customFormat="1"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</row>
    <row r="137" spans="4:46" s="8" customFormat="1"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</row>
    <row r="138" spans="4:46" s="8" customFormat="1"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</row>
    <row r="139" spans="4:46" s="8" customFormat="1"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</row>
    <row r="140" spans="4:46" s="8" customFormat="1"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</row>
    <row r="141" spans="4:46" s="8" customFormat="1"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</row>
    <row r="142" spans="4:46" s="8" customFormat="1"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</row>
    <row r="143" spans="4:46" s="8" customFormat="1"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</row>
    <row r="144" spans="4:46" s="8" customFormat="1"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</row>
    <row r="145" spans="4:46" s="8" customFormat="1"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</row>
    <row r="146" spans="4:46" s="8" customFormat="1"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</row>
    <row r="147" spans="4:46" s="8" customFormat="1"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</row>
    <row r="148" spans="4:46" s="8" customFormat="1"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</row>
    <row r="149" spans="4:46" s="8" customFormat="1"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</row>
    <row r="150" spans="4:46" s="8" customFormat="1"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</row>
    <row r="151" spans="4:46" s="8" customFormat="1"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</row>
    <row r="152" spans="4:46" s="8" customFormat="1"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</row>
    <row r="153" spans="4:46" s="8" customFormat="1"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</row>
    <row r="154" spans="4:46" s="8" customFormat="1"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</row>
    <row r="155" spans="4:46" s="8" customFormat="1"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</row>
    <row r="156" spans="4:46" s="8" customFormat="1"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</row>
    <row r="157" spans="4:46" s="8" customFormat="1"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</row>
    <row r="158" spans="4:46" s="8" customFormat="1"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</row>
    <row r="159" spans="4:46" s="8" customFormat="1"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</row>
    <row r="160" spans="4:46" s="8" customFormat="1"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</row>
    <row r="161" spans="4:46" s="8" customFormat="1"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</row>
    <row r="162" spans="4:46" s="8" customFormat="1"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</row>
    <row r="163" spans="4:46" s="8" customFormat="1"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</row>
    <row r="164" spans="4:46" s="8" customFormat="1"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</row>
    <row r="165" spans="4:46" s="8" customFormat="1"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</row>
    <row r="166" spans="4:46" s="8" customFormat="1"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</row>
    <row r="167" spans="4:46" s="8" customFormat="1"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</row>
    <row r="168" spans="4:46" s="8" customFormat="1"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</row>
    <row r="169" spans="4:46" s="8" customFormat="1"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</row>
    <row r="170" spans="4:46" s="8" customFormat="1"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</row>
    <row r="171" spans="4:46" s="8" customFormat="1"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</row>
    <row r="172" spans="4:46" s="8" customFormat="1"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</row>
    <row r="173" spans="4:46" s="8" customFormat="1"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</row>
    <row r="174" spans="4:46" s="8" customFormat="1"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</row>
    <row r="175" spans="4:46" s="8" customFormat="1"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</row>
    <row r="176" spans="4:46" s="8" customFormat="1"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</row>
    <row r="177" spans="4:46" s="8" customFormat="1"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</row>
    <row r="178" spans="4:46" s="8" customFormat="1"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</row>
    <row r="179" spans="4:46" s="8" customFormat="1"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</row>
    <row r="180" spans="4:46" s="8" customFormat="1"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</row>
    <row r="181" spans="4:46" s="8" customFormat="1"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</row>
    <row r="182" spans="4:46" s="8" customFormat="1"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</row>
    <row r="183" spans="4:46" s="8" customFormat="1"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</row>
    <row r="184" spans="4:46" s="8" customFormat="1"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</row>
    <row r="185" spans="4:46" s="8" customFormat="1"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</row>
    <row r="186" spans="4:46" s="8" customFormat="1"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</row>
    <row r="187" spans="4:46" s="8" customFormat="1"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</row>
    <row r="188" spans="4:46" s="8" customFormat="1"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</row>
    <row r="189" spans="4:46" s="8" customFormat="1"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</row>
    <row r="190" spans="4:46" s="8" customFormat="1"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</row>
    <row r="191" spans="4:46" s="8" customFormat="1"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</row>
    <row r="192" spans="4:46" s="8" customFormat="1"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</row>
    <row r="193" spans="4:46" s="8" customFormat="1"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</row>
    <row r="194" spans="4:46" s="8" customFormat="1"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</row>
    <row r="195" spans="4:46" s="8" customFormat="1"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</row>
    <row r="196" spans="4:46" s="8" customFormat="1"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</row>
    <row r="197" spans="4:46" s="8" customFormat="1"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</row>
    <row r="198" spans="4:46" s="8" customFormat="1"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</row>
    <row r="199" spans="4:46" s="8" customFormat="1"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</row>
    <row r="200" spans="4:46" s="8" customFormat="1"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</row>
    <row r="201" spans="4:46" s="8" customFormat="1"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</row>
    <row r="202" spans="4:46" s="8" customFormat="1"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</row>
    <row r="203" spans="4:46" s="8" customFormat="1"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</row>
    <row r="204" spans="4:46" s="8" customFormat="1"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</row>
    <row r="205" spans="4:46" s="8" customFormat="1"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</row>
    <row r="206" spans="4:46" s="8" customFormat="1"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</row>
    <row r="207" spans="4:46" s="8" customFormat="1"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</row>
    <row r="208" spans="4:46" s="8" customFormat="1"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</row>
    <row r="209" spans="4:46" s="8" customFormat="1"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</row>
    <row r="210" spans="4:46" s="8" customFormat="1"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</row>
    <row r="211" spans="4:46" s="8" customFormat="1"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</row>
    <row r="212" spans="4:46" s="8" customFormat="1"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</row>
    <row r="213" spans="4:46" s="8" customFormat="1"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</row>
    <row r="214" spans="4:46" s="8" customFormat="1"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</row>
    <row r="215" spans="4:46" s="8" customFormat="1"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</row>
    <row r="216" spans="4:46" s="8" customFormat="1"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</row>
    <row r="217" spans="4:46" s="8" customFormat="1"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</row>
    <row r="218" spans="4:46" s="8" customFormat="1"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</row>
    <row r="219" spans="4:46" s="8" customFormat="1"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</row>
    <row r="220" spans="4:46" s="8" customFormat="1"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</row>
    <row r="221" spans="4:46" s="8" customFormat="1"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</row>
    <row r="222" spans="4:46" s="8" customFormat="1"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</row>
    <row r="223" spans="4:46" s="8" customFormat="1"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</row>
    <row r="224" spans="4:46" s="8" customFormat="1"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</row>
    <row r="225" spans="4:46" s="8" customFormat="1"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</row>
    <row r="226" spans="4:46" s="8" customFormat="1"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</row>
    <row r="227" spans="4:46" s="8" customFormat="1"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</row>
    <row r="228" spans="4:46" s="8" customFormat="1"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</row>
    <row r="229" spans="4:46" s="8" customFormat="1"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</row>
    <row r="230" spans="4:46" s="8" customFormat="1"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</row>
    <row r="231" spans="4:46" s="8" customFormat="1"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</row>
    <row r="232" spans="4:46" s="8" customFormat="1"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</row>
    <row r="233" spans="4:46" s="8" customFormat="1"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</row>
    <row r="234" spans="4:46" s="8" customFormat="1"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</row>
    <row r="235" spans="4:46" s="8" customFormat="1"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</row>
    <row r="236" spans="4:46" s="8" customFormat="1"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</row>
    <row r="237" spans="4:46" s="8" customFormat="1"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</row>
    <row r="238" spans="4:46" s="8" customFormat="1"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</row>
    <row r="239" spans="4:46" s="8" customFormat="1"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</row>
    <row r="240" spans="4:46" s="8" customFormat="1"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</row>
    <row r="241" spans="4:46" s="8" customFormat="1"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</row>
    <row r="242" spans="4:46" s="8" customFormat="1"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</row>
    <row r="243" spans="4:46" s="8" customFormat="1"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</row>
    <row r="244" spans="4:46" s="8" customFormat="1"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</row>
    <row r="245" spans="4:46" s="8" customFormat="1"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</row>
    <row r="246" spans="4:46" s="8" customFormat="1"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</row>
    <row r="247" spans="4:46" s="8" customFormat="1"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</row>
    <row r="248" spans="4:46" s="8" customFormat="1"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</row>
    <row r="249" spans="4:46" s="8" customFormat="1"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</row>
    <row r="250" spans="4:46" s="8" customFormat="1"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</row>
    <row r="251" spans="4:46" s="8" customFormat="1"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</row>
    <row r="252" spans="4:46" s="8" customFormat="1"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</row>
    <row r="253" spans="4:46" s="8" customFormat="1"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</row>
    <row r="254" spans="4:46" s="8" customFormat="1"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</row>
    <row r="255" spans="4:46" s="8" customFormat="1"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</row>
    <row r="256" spans="4:46" s="8" customFormat="1"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</row>
    <row r="257" spans="4:46" s="8" customFormat="1"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</row>
    <row r="258" spans="4:46" s="8" customFormat="1"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</row>
    <row r="259" spans="4:46" s="8" customFormat="1"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</row>
    <row r="260" spans="4:46" s="8" customFormat="1"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</row>
    <row r="261" spans="4:46" s="8" customFormat="1"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</row>
    <row r="262" spans="4:46" s="8" customFormat="1"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</row>
    <row r="263" spans="4:46" s="8" customFormat="1"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</row>
    <row r="264" spans="4:46" s="8" customFormat="1"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</row>
    <row r="265" spans="4:46" s="8" customFormat="1"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</row>
    <row r="266" spans="4:46" s="8" customFormat="1"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</row>
    <row r="267" spans="4:46" s="8" customFormat="1"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</row>
    <row r="268" spans="4:46" s="8" customFormat="1"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</row>
    <row r="269" spans="4:46" s="8" customFormat="1"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4"/>
      <c r="AQ269" s="64"/>
      <c r="AR269" s="64"/>
      <c r="AS269" s="64"/>
      <c r="AT269" s="64"/>
    </row>
    <row r="270" spans="4:46" s="8" customFormat="1"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4"/>
      <c r="AQ270" s="64"/>
      <c r="AR270" s="64"/>
      <c r="AS270" s="64"/>
      <c r="AT270" s="64"/>
    </row>
    <row r="271" spans="4:46" s="8" customFormat="1"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4"/>
      <c r="AQ271" s="64"/>
      <c r="AR271" s="64"/>
      <c r="AS271" s="64"/>
      <c r="AT271" s="64"/>
    </row>
    <row r="272" spans="4:46" s="8" customFormat="1"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4"/>
      <c r="AQ272" s="64"/>
      <c r="AR272" s="64"/>
      <c r="AS272" s="64"/>
      <c r="AT272" s="64"/>
    </row>
    <row r="273" spans="4:46" s="8" customFormat="1"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4"/>
      <c r="AQ273" s="64"/>
      <c r="AR273" s="64"/>
      <c r="AS273" s="64"/>
      <c r="AT273" s="64"/>
    </row>
    <row r="274" spans="4:46" s="8" customFormat="1"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4"/>
      <c r="AQ274" s="64"/>
      <c r="AR274" s="64"/>
      <c r="AS274" s="64"/>
      <c r="AT274" s="64"/>
    </row>
    <row r="275" spans="4:46" s="8" customFormat="1"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4"/>
      <c r="AQ275" s="64"/>
      <c r="AR275" s="64"/>
      <c r="AS275" s="64"/>
      <c r="AT275" s="64"/>
    </row>
    <row r="276" spans="4:46" s="8" customFormat="1"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4"/>
      <c r="AQ276" s="64"/>
      <c r="AR276" s="64"/>
      <c r="AS276" s="64"/>
      <c r="AT276" s="64"/>
    </row>
    <row r="277" spans="4:46" s="8" customFormat="1"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4"/>
      <c r="AQ277" s="64"/>
      <c r="AR277" s="64"/>
      <c r="AS277" s="64"/>
      <c r="AT277" s="64"/>
    </row>
    <row r="278" spans="4:46" s="8" customFormat="1"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4"/>
      <c r="AQ278" s="64"/>
      <c r="AR278" s="64"/>
      <c r="AS278" s="64"/>
      <c r="AT278" s="64"/>
    </row>
    <row r="279" spans="4:46" s="8" customFormat="1"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4"/>
      <c r="AQ279" s="64"/>
      <c r="AR279" s="64"/>
      <c r="AS279" s="64"/>
      <c r="AT279" s="64"/>
    </row>
    <row r="280" spans="4:46" s="8" customFormat="1"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4"/>
      <c r="AQ280" s="64"/>
      <c r="AR280" s="64"/>
      <c r="AS280" s="64"/>
      <c r="AT280" s="64"/>
    </row>
    <row r="281" spans="4:46" s="8" customFormat="1"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4"/>
      <c r="AQ281" s="64"/>
      <c r="AR281" s="64"/>
      <c r="AS281" s="64"/>
      <c r="AT281" s="64"/>
    </row>
    <row r="282" spans="4:46" s="8" customFormat="1"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4"/>
      <c r="AQ282" s="64"/>
      <c r="AR282" s="64"/>
      <c r="AS282" s="64"/>
      <c r="AT282" s="64"/>
    </row>
    <row r="283" spans="4:46" s="8" customFormat="1"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4"/>
      <c r="AQ283" s="64"/>
      <c r="AR283" s="64"/>
      <c r="AS283" s="64"/>
      <c r="AT283" s="64"/>
    </row>
    <row r="284" spans="4:46" s="8" customFormat="1"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4"/>
      <c r="AQ284" s="64"/>
      <c r="AR284" s="64"/>
      <c r="AS284" s="64"/>
      <c r="AT284" s="64"/>
    </row>
    <row r="285" spans="4:46" s="8" customFormat="1"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4"/>
      <c r="AQ285" s="64"/>
      <c r="AR285" s="64"/>
      <c r="AS285" s="64"/>
      <c r="AT285" s="64"/>
    </row>
    <row r="286" spans="4:46" s="8" customFormat="1"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4"/>
      <c r="AQ286" s="64"/>
      <c r="AR286" s="64"/>
      <c r="AS286" s="64"/>
      <c r="AT286" s="64"/>
    </row>
    <row r="287" spans="4:46" s="8" customFormat="1"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4"/>
      <c r="AQ287" s="64"/>
      <c r="AR287" s="64"/>
      <c r="AS287" s="64"/>
      <c r="AT287" s="64"/>
    </row>
    <row r="288" spans="4:46" s="8" customFormat="1"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4"/>
      <c r="AQ288" s="64"/>
      <c r="AR288" s="64"/>
      <c r="AS288" s="64"/>
      <c r="AT288" s="64"/>
    </row>
    <row r="289" spans="4:46" s="8" customFormat="1"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4"/>
      <c r="AQ289" s="64"/>
      <c r="AR289" s="64"/>
      <c r="AS289" s="64"/>
      <c r="AT289" s="64"/>
    </row>
    <row r="290" spans="4:46" s="8" customFormat="1"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4"/>
      <c r="AQ290" s="64"/>
      <c r="AR290" s="64"/>
      <c r="AS290" s="64"/>
      <c r="AT290" s="64"/>
    </row>
    <row r="291" spans="4:46" s="8" customFormat="1"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4"/>
      <c r="AQ291" s="64"/>
      <c r="AR291" s="64"/>
      <c r="AS291" s="64"/>
      <c r="AT291" s="64"/>
    </row>
    <row r="292" spans="4:46" s="8" customFormat="1"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4"/>
      <c r="AQ292" s="64"/>
      <c r="AR292" s="64"/>
      <c r="AS292" s="64"/>
      <c r="AT292" s="64"/>
    </row>
    <row r="293" spans="4:46" s="8" customFormat="1"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4"/>
      <c r="AQ293" s="64"/>
      <c r="AR293" s="64"/>
      <c r="AS293" s="64"/>
      <c r="AT293" s="64"/>
    </row>
    <row r="294" spans="4:46" s="8" customFormat="1"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4"/>
      <c r="AQ294" s="64"/>
      <c r="AR294" s="64"/>
      <c r="AS294" s="64"/>
      <c r="AT294" s="64"/>
    </row>
    <row r="295" spans="4:46" s="8" customFormat="1"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4"/>
      <c r="AQ295" s="64"/>
      <c r="AR295" s="64"/>
      <c r="AS295" s="64"/>
      <c r="AT295" s="64"/>
    </row>
    <row r="296" spans="4:46" s="8" customFormat="1"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4"/>
      <c r="AQ296" s="64"/>
      <c r="AR296" s="64"/>
      <c r="AS296" s="64"/>
      <c r="AT296" s="64"/>
    </row>
    <row r="297" spans="4:46" s="8" customFormat="1"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4"/>
      <c r="AQ297" s="64"/>
      <c r="AR297" s="64"/>
      <c r="AS297" s="64"/>
      <c r="AT297" s="64"/>
    </row>
    <row r="298" spans="4:46" s="8" customFormat="1"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4"/>
      <c r="AQ298" s="64"/>
      <c r="AR298" s="64"/>
      <c r="AS298" s="64"/>
      <c r="AT298" s="64"/>
    </row>
    <row r="299" spans="4:46" s="8" customFormat="1"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4"/>
      <c r="AQ299" s="64"/>
      <c r="AR299" s="64"/>
      <c r="AS299" s="64"/>
      <c r="AT299" s="64"/>
    </row>
    <row r="300" spans="4:46" s="8" customFormat="1"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4"/>
      <c r="AQ300" s="64"/>
      <c r="AR300" s="64"/>
      <c r="AS300" s="64"/>
      <c r="AT300" s="64"/>
    </row>
    <row r="301" spans="4:46" s="8" customFormat="1"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4"/>
      <c r="AQ301" s="64"/>
      <c r="AR301" s="64"/>
      <c r="AS301" s="64"/>
      <c r="AT301" s="64"/>
    </row>
    <row r="302" spans="4:46" s="8" customFormat="1"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4"/>
      <c r="AQ302" s="64"/>
      <c r="AR302" s="64"/>
      <c r="AS302" s="64"/>
      <c r="AT302" s="64"/>
    </row>
    <row r="303" spans="4:46" s="8" customFormat="1"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4"/>
      <c r="AQ303" s="64"/>
      <c r="AR303" s="64"/>
      <c r="AS303" s="64"/>
      <c r="AT303" s="64"/>
    </row>
    <row r="304" spans="4:46" s="8" customFormat="1"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4"/>
      <c r="AQ304" s="64"/>
      <c r="AR304" s="64"/>
      <c r="AS304" s="64"/>
      <c r="AT304" s="64"/>
    </row>
    <row r="305" spans="4:46" s="8" customFormat="1"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4"/>
      <c r="AQ305" s="64"/>
      <c r="AR305" s="64"/>
      <c r="AS305" s="64"/>
      <c r="AT305" s="64"/>
    </row>
    <row r="306" spans="4:46" s="8" customFormat="1"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4"/>
      <c r="AQ306" s="64"/>
      <c r="AR306" s="64"/>
      <c r="AS306" s="64"/>
      <c r="AT306" s="64"/>
    </row>
    <row r="307" spans="4:46" s="8" customFormat="1"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4"/>
      <c r="AQ307" s="64"/>
      <c r="AR307" s="64"/>
      <c r="AS307" s="64"/>
      <c r="AT307" s="64"/>
    </row>
    <row r="308" spans="4:46" s="8" customFormat="1"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4"/>
      <c r="AQ308" s="64"/>
      <c r="AR308" s="64"/>
      <c r="AS308" s="64"/>
      <c r="AT308" s="64"/>
    </row>
    <row r="309" spans="4:46" s="8" customFormat="1"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4"/>
      <c r="AQ309" s="64"/>
      <c r="AR309" s="64"/>
      <c r="AS309" s="64"/>
      <c r="AT309" s="64"/>
    </row>
    <row r="310" spans="4:46" s="8" customFormat="1"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4"/>
      <c r="AQ310" s="64"/>
      <c r="AR310" s="64"/>
      <c r="AS310" s="64"/>
      <c r="AT310" s="64"/>
    </row>
    <row r="311" spans="4:46" s="8" customFormat="1"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4"/>
      <c r="AQ311" s="64"/>
      <c r="AR311" s="64"/>
      <c r="AS311" s="64"/>
      <c r="AT311" s="64"/>
    </row>
    <row r="312" spans="4:46" s="8" customFormat="1"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4"/>
      <c r="AQ312" s="64"/>
      <c r="AR312" s="64"/>
      <c r="AS312" s="64"/>
      <c r="AT312" s="64"/>
    </row>
    <row r="313" spans="4:46" s="8" customFormat="1"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4"/>
      <c r="AQ313" s="64"/>
      <c r="AR313" s="64"/>
      <c r="AS313" s="64"/>
      <c r="AT313" s="64"/>
    </row>
    <row r="314" spans="4:46" s="8" customFormat="1"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4"/>
      <c r="AQ314" s="64"/>
      <c r="AR314" s="64"/>
      <c r="AS314" s="64"/>
      <c r="AT314" s="64"/>
    </row>
    <row r="315" spans="4:46" s="8" customFormat="1"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4"/>
      <c r="AQ315" s="64"/>
      <c r="AR315" s="64"/>
      <c r="AS315" s="64"/>
      <c r="AT315" s="64"/>
    </row>
    <row r="316" spans="4:46" s="8" customFormat="1"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4"/>
      <c r="AQ316" s="64"/>
      <c r="AR316" s="64"/>
      <c r="AS316" s="64"/>
      <c r="AT316" s="64"/>
    </row>
    <row r="317" spans="4:46" s="8" customFormat="1"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4"/>
      <c r="AQ317" s="64"/>
      <c r="AR317" s="64"/>
      <c r="AS317" s="64"/>
      <c r="AT317" s="64"/>
    </row>
    <row r="318" spans="4:46" s="8" customFormat="1"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4"/>
      <c r="AQ318" s="64"/>
      <c r="AR318" s="64"/>
      <c r="AS318" s="64"/>
      <c r="AT318" s="64"/>
    </row>
    <row r="319" spans="4:46" s="8" customFormat="1"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4"/>
      <c r="AQ319" s="64"/>
      <c r="AR319" s="64"/>
      <c r="AS319" s="64"/>
      <c r="AT319" s="64"/>
    </row>
    <row r="320" spans="4:46" s="8" customFormat="1"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4"/>
      <c r="AQ320" s="64"/>
      <c r="AR320" s="64"/>
      <c r="AS320" s="64"/>
      <c r="AT320" s="64"/>
    </row>
    <row r="321" spans="4:46" s="8" customFormat="1"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4"/>
      <c r="AQ321" s="64"/>
      <c r="AR321" s="64"/>
      <c r="AS321" s="64"/>
      <c r="AT321" s="64"/>
    </row>
    <row r="322" spans="4:46" s="8" customFormat="1"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4"/>
      <c r="AQ322" s="64"/>
      <c r="AR322" s="64"/>
      <c r="AS322" s="64"/>
      <c r="AT322" s="64"/>
    </row>
    <row r="323" spans="4:46" s="8" customFormat="1"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4"/>
      <c r="AQ323" s="64"/>
      <c r="AR323" s="64"/>
      <c r="AS323" s="64"/>
      <c r="AT323" s="64"/>
    </row>
    <row r="324" spans="4:46" s="8" customFormat="1"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4"/>
      <c r="AQ324" s="64"/>
      <c r="AR324" s="64"/>
      <c r="AS324" s="64"/>
      <c r="AT324" s="64"/>
    </row>
    <row r="325" spans="4:46" s="8" customFormat="1"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4"/>
      <c r="AQ325" s="64"/>
      <c r="AR325" s="64"/>
      <c r="AS325" s="64"/>
      <c r="AT325" s="64"/>
    </row>
    <row r="326" spans="4:46" s="8" customFormat="1"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4"/>
      <c r="AQ326" s="64"/>
      <c r="AR326" s="64"/>
      <c r="AS326" s="64"/>
      <c r="AT326" s="64"/>
    </row>
    <row r="327" spans="4:46" s="8" customFormat="1"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4"/>
      <c r="AQ327" s="64"/>
      <c r="AR327" s="64"/>
      <c r="AS327" s="64"/>
      <c r="AT327" s="64"/>
    </row>
    <row r="328" spans="4:46" s="8" customFormat="1"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4"/>
      <c r="AQ328" s="64"/>
      <c r="AR328" s="64"/>
      <c r="AS328" s="64"/>
      <c r="AT328" s="64"/>
    </row>
    <row r="329" spans="4:46" s="8" customFormat="1"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4"/>
      <c r="AQ329" s="64"/>
      <c r="AR329" s="64"/>
      <c r="AS329" s="64"/>
      <c r="AT329" s="64"/>
    </row>
    <row r="330" spans="4:46" s="8" customFormat="1"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4"/>
      <c r="AQ330" s="64"/>
      <c r="AR330" s="64"/>
      <c r="AS330" s="64"/>
      <c r="AT330" s="64"/>
    </row>
    <row r="331" spans="4:46" s="8" customFormat="1"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4"/>
      <c r="AQ331" s="64"/>
      <c r="AR331" s="64"/>
      <c r="AS331" s="64"/>
      <c r="AT331" s="64"/>
    </row>
    <row r="332" spans="4:46" s="8" customFormat="1"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4"/>
      <c r="AQ332" s="64"/>
      <c r="AR332" s="64"/>
      <c r="AS332" s="64"/>
      <c r="AT332" s="64"/>
    </row>
    <row r="333" spans="4:46" s="8" customFormat="1"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4"/>
      <c r="AQ333" s="64"/>
      <c r="AR333" s="64"/>
      <c r="AS333" s="64"/>
      <c r="AT333" s="64"/>
    </row>
    <row r="334" spans="4:46" s="8" customFormat="1"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4"/>
      <c r="AQ334" s="64"/>
      <c r="AR334" s="64"/>
      <c r="AS334" s="64"/>
      <c r="AT334" s="64"/>
    </row>
    <row r="335" spans="4:46" s="8" customFormat="1"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4"/>
      <c r="AQ335" s="64"/>
      <c r="AR335" s="64"/>
      <c r="AS335" s="64"/>
      <c r="AT335" s="64"/>
    </row>
    <row r="336" spans="4:46" s="8" customFormat="1"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4"/>
      <c r="AQ336" s="64"/>
      <c r="AR336" s="64"/>
      <c r="AS336" s="64"/>
      <c r="AT336" s="64"/>
    </row>
    <row r="337" spans="4:46" s="8" customFormat="1"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4"/>
      <c r="AQ337" s="64"/>
      <c r="AR337" s="64"/>
      <c r="AS337" s="64"/>
      <c r="AT337" s="64"/>
    </row>
    <row r="338" spans="4:46" s="8" customFormat="1"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4"/>
      <c r="AQ338" s="64"/>
      <c r="AR338" s="64"/>
      <c r="AS338" s="64"/>
      <c r="AT338" s="64"/>
    </row>
    <row r="339" spans="4:46" s="8" customFormat="1"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4"/>
      <c r="AQ339" s="64"/>
      <c r="AR339" s="64"/>
      <c r="AS339" s="64"/>
      <c r="AT339" s="64"/>
    </row>
    <row r="340" spans="4:46" s="8" customFormat="1"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4"/>
      <c r="AQ340" s="64"/>
      <c r="AR340" s="64"/>
      <c r="AS340" s="64"/>
      <c r="AT340" s="64"/>
    </row>
    <row r="341" spans="4:46" s="8" customFormat="1"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4"/>
      <c r="AQ341" s="64"/>
      <c r="AR341" s="64"/>
      <c r="AS341" s="64"/>
      <c r="AT341" s="64"/>
    </row>
    <row r="342" spans="4:46" s="8" customFormat="1"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4"/>
      <c r="AQ342" s="64"/>
      <c r="AR342" s="64"/>
      <c r="AS342" s="64"/>
      <c r="AT342" s="64"/>
    </row>
    <row r="343" spans="4:46" s="8" customFormat="1"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4"/>
      <c r="AQ343" s="64"/>
      <c r="AR343" s="64"/>
      <c r="AS343" s="64"/>
      <c r="AT343" s="64"/>
    </row>
    <row r="344" spans="4:46" s="8" customFormat="1"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4"/>
      <c r="AQ344" s="64"/>
      <c r="AR344" s="64"/>
      <c r="AS344" s="64"/>
      <c r="AT344" s="64"/>
    </row>
    <row r="345" spans="4:46" s="8" customFormat="1"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4"/>
      <c r="AQ345" s="64"/>
      <c r="AR345" s="64"/>
      <c r="AS345" s="64"/>
      <c r="AT345" s="64"/>
    </row>
    <row r="346" spans="4:46" s="8" customFormat="1"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4"/>
      <c r="AQ346" s="64"/>
      <c r="AR346" s="64"/>
      <c r="AS346" s="64"/>
      <c r="AT346" s="64"/>
    </row>
    <row r="347" spans="4:46" s="8" customFormat="1"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4"/>
      <c r="AQ347" s="64"/>
      <c r="AR347" s="64"/>
      <c r="AS347" s="64"/>
      <c r="AT347" s="64"/>
    </row>
    <row r="348" spans="4:46" s="8" customFormat="1"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4"/>
      <c r="AQ348" s="64"/>
      <c r="AR348" s="64"/>
      <c r="AS348" s="64"/>
      <c r="AT348" s="64"/>
    </row>
    <row r="349" spans="4:46" s="8" customFormat="1"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4"/>
      <c r="AQ349" s="64"/>
      <c r="AR349" s="64"/>
      <c r="AS349" s="64"/>
      <c r="AT349" s="64"/>
    </row>
    <row r="350" spans="4:46" s="8" customFormat="1"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4"/>
      <c r="AQ350" s="64"/>
      <c r="AR350" s="64"/>
      <c r="AS350" s="64"/>
      <c r="AT350" s="64"/>
    </row>
    <row r="351" spans="4:46" s="8" customFormat="1"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4"/>
      <c r="AQ351" s="64"/>
      <c r="AR351" s="64"/>
      <c r="AS351" s="64"/>
      <c r="AT351" s="64"/>
    </row>
    <row r="352" spans="4:46" s="8" customFormat="1"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4"/>
      <c r="AQ352" s="64"/>
      <c r="AR352" s="64"/>
      <c r="AS352" s="64"/>
      <c r="AT352" s="64"/>
    </row>
    <row r="353" spans="4:46" s="8" customFormat="1"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4"/>
      <c r="AQ353" s="64"/>
      <c r="AR353" s="64"/>
      <c r="AS353" s="64"/>
      <c r="AT353" s="64"/>
    </row>
    <row r="354" spans="4:46" s="8" customFormat="1"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4"/>
      <c r="AQ354" s="64"/>
      <c r="AR354" s="64"/>
      <c r="AS354" s="64"/>
      <c r="AT354" s="64"/>
    </row>
    <row r="355" spans="4:46" s="8" customFormat="1"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4"/>
      <c r="AQ355" s="64"/>
      <c r="AR355" s="64"/>
      <c r="AS355" s="64"/>
      <c r="AT355" s="64"/>
    </row>
    <row r="356" spans="4:46" s="8" customFormat="1"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4"/>
      <c r="AQ356" s="64"/>
      <c r="AR356" s="64"/>
      <c r="AS356" s="64"/>
      <c r="AT356" s="64"/>
    </row>
    <row r="357" spans="4:46" s="8" customFormat="1"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4"/>
      <c r="AQ357" s="64"/>
      <c r="AR357" s="64"/>
      <c r="AS357" s="64"/>
      <c r="AT357" s="64"/>
    </row>
    <row r="358" spans="4:46" s="8" customFormat="1"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4"/>
      <c r="AQ358" s="64"/>
      <c r="AR358" s="64"/>
      <c r="AS358" s="64"/>
      <c r="AT358" s="64"/>
    </row>
    <row r="359" spans="4:46" s="8" customFormat="1"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4"/>
      <c r="AQ359" s="64"/>
      <c r="AR359" s="64"/>
      <c r="AS359" s="64"/>
      <c r="AT359" s="64"/>
    </row>
    <row r="360" spans="4:46" s="8" customFormat="1"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4"/>
      <c r="AQ360" s="64"/>
      <c r="AR360" s="64"/>
      <c r="AS360" s="64"/>
      <c r="AT360" s="64"/>
    </row>
    <row r="361" spans="4:46" s="8" customFormat="1"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4"/>
      <c r="AQ361" s="64"/>
      <c r="AR361" s="64"/>
      <c r="AS361" s="64"/>
      <c r="AT361" s="64"/>
    </row>
    <row r="362" spans="4:46" s="8" customFormat="1"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4"/>
      <c r="AQ362" s="64"/>
      <c r="AR362" s="64"/>
      <c r="AS362" s="64"/>
      <c r="AT362" s="64"/>
    </row>
    <row r="363" spans="4:46" s="8" customFormat="1"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4"/>
      <c r="AQ363" s="64"/>
      <c r="AR363" s="64"/>
      <c r="AS363" s="64"/>
      <c r="AT363" s="64"/>
    </row>
    <row r="364" spans="4:46" s="8" customFormat="1"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4"/>
      <c r="AQ364" s="64"/>
      <c r="AR364" s="64"/>
      <c r="AS364" s="64"/>
      <c r="AT364" s="64"/>
    </row>
    <row r="365" spans="4:46" s="8" customFormat="1"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4"/>
      <c r="AQ365" s="64"/>
      <c r="AR365" s="64"/>
      <c r="AS365" s="64"/>
      <c r="AT365" s="64"/>
    </row>
    <row r="366" spans="4:46" s="8" customFormat="1"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4"/>
      <c r="AQ366" s="64"/>
      <c r="AR366" s="64"/>
      <c r="AS366" s="64"/>
      <c r="AT366" s="64"/>
    </row>
    <row r="367" spans="4:46" s="8" customFormat="1"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4"/>
      <c r="AQ367" s="64"/>
      <c r="AR367" s="64"/>
      <c r="AS367" s="64"/>
      <c r="AT367" s="64"/>
    </row>
    <row r="368" spans="4:46" s="8" customFormat="1"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4"/>
      <c r="AQ368" s="64"/>
      <c r="AR368" s="64"/>
      <c r="AS368" s="64"/>
      <c r="AT368" s="64"/>
    </row>
    <row r="369" spans="4:46" s="8" customFormat="1"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4"/>
      <c r="AQ369" s="64"/>
      <c r="AR369" s="64"/>
      <c r="AS369" s="64"/>
      <c r="AT369" s="64"/>
    </row>
    <row r="370" spans="4:46" s="8" customFormat="1"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4"/>
      <c r="AQ370" s="64"/>
      <c r="AR370" s="64"/>
      <c r="AS370" s="64"/>
      <c r="AT370" s="64"/>
    </row>
    <row r="371" spans="4:46" s="8" customFormat="1"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4"/>
      <c r="AQ371" s="64"/>
      <c r="AR371" s="64"/>
      <c r="AS371" s="64"/>
      <c r="AT371" s="64"/>
    </row>
    <row r="372" spans="4:46" s="8" customFormat="1"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4"/>
      <c r="AQ372" s="64"/>
      <c r="AR372" s="64"/>
      <c r="AS372" s="64"/>
      <c r="AT372" s="64"/>
    </row>
    <row r="373" spans="4:46" s="8" customFormat="1"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4"/>
      <c r="AQ373" s="64"/>
      <c r="AR373" s="64"/>
      <c r="AS373" s="64"/>
      <c r="AT373" s="64"/>
    </row>
    <row r="374" spans="4:46" s="8" customFormat="1"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4"/>
      <c r="AQ374" s="64"/>
      <c r="AR374" s="64"/>
      <c r="AS374" s="64"/>
      <c r="AT374" s="64"/>
    </row>
    <row r="375" spans="4:46" s="8" customFormat="1"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4"/>
      <c r="AQ375" s="64"/>
      <c r="AR375" s="64"/>
      <c r="AS375" s="64"/>
      <c r="AT375" s="64"/>
    </row>
    <row r="376" spans="4:46" s="8" customFormat="1"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4"/>
      <c r="AQ376" s="64"/>
      <c r="AR376" s="64"/>
      <c r="AS376" s="64"/>
      <c r="AT376" s="64"/>
    </row>
    <row r="377" spans="4:46" s="8" customFormat="1"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4"/>
      <c r="AQ377" s="64"/>
      <c r="AR377" s="64"/>
      <c r="AS377" s="64"/>
      <c r="AT377" s="64"/>
    </row>
    <row r="378" spans="4:46" s="8" customFormat="1"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4"/>
      <c r="AQ378" s="64"/>
      <c r="AR378" s="64"/>
      <c r="AS378" s="64"/>
      <c r="AT378" s="64"/>
    </row>
    <row r="379" spans="4:46" s="8" customFormat="1"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4"/>
      <c r="AQ379" s="64"/>
      <c r="AR379" s="64"/>
      <c r="AS379" s="64"/>
      <c r="AT379" s="64"/>
    </row>
    <row r="380" spans="4:46" s="8" customFormat="1"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4"/>
      <c r="AQ380" s="64"/>
      <c r="AR380" s="64"/>
      <c r="AS380" s="64"/>
      <c r="AT380" s="64"/>
    </row>
    <row r="381" spans="4:46" s="8" customFormat="1"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4"/>
      <c r="AQ381" s="64"/>
      <c r="AR381" s="64"/>
      <c r="AS381" s="64"/>
      <c r="AT381" s="64"/>
    </row>
    <row r="382" spans="4:46" s="8" customFormat="1"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4"/>
      <c r="AQ382" s="64"/>
      <c r="AR382" s="64"/>
      <c r="AS382" s="64"/>
      <c r="AT382" s="64"/>
    </row>
    <row r="383" spans="4:46" s="8" customFormat="1"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4"/>
      <c r="AQ383" s="64"/>
      <c r="AR383" s="64"/>
      <c r="AS383" s="64"/>
      <c r="AT383" s="64"/>
    </row>
    <row r="384" spans="4:46" s="8" customFormat="1"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4"/>
      <c r="AQ384" s="64"/>
      <c r="AR384" s="64"/>
      <c r="AS384" s="64"/>
      <c r="AT384" s="64"/>
    </row>
    <row r="385" spans="4:46" s="8" customFormat="1"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4"/>
      <c r="AQ385" s="64"/>
      <c r="AR385" s="64"/>
      <c r="AS385" s="64"/>
      <c r="AT385" s="64"/>
    </row>
    <row r="386" spans="4:46" s="8" customFormat="1"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4"/>
      <c r="AQ386" s="64"/>
      <c r="AR386" s="64"/>
      <c r="AS386" s="64"/>
      <c r="AT386" s="64"/>
    </row>
    <row r="387" spans="4:46" s="8" customFormat="1"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4"/>
      <c r="AQ387" s="64"/>
      <c r="AR387" s="64"/>
      <c r="AS387" s="64"/>
      <c r="AT387" s="64"/>
    </row>
    <row r="388" spans="4:46" s="8" customFormat="1"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4"/>
      <c r="AQ388" s="64"/>
      <c r="AR388" s="64"/>
      <c r="AS388" s="64"/>
      <c r="AT388" s="64"/>
    </row>
    <row r="389" spans="4:46" s="8" customFormat="1"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4"/>
      <c r="AQ389" s="64"/>
      <c r="AR389" s="64"/>
      <c r="AS389" s="64"/>
      <c r="AT389" s="64"/>
    </row>
    <row r="390" spans="4:46" s="8" customFormat="1"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4"/>
      <c r="AQ390" s="64"/>
      <c r="AR390" s="64"/>
      <c r="AS390" s="64"/>
      <c r="AT390" s="64"/>
    </row>
    <row r="391" spans="4:46" s="8" customFormat="1"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4"/>
      <c r="AQ391" s="64"/>
      <c r="AR391" s="64"/>
      <c r="AS391" s="64"/>
      <c r="AT391" s="64"/>
    </row>
    <row r="392" spans="4:46" s="8" customFormat="1"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4"/>
      <c r="AQ392" s="64"/>
      <c r="AR392" s="64"/>
      <c r="AS392" s="64"/>
      <c r="AT392" s="64"/>
    </row>
    <row r="393" spans="4:46" s="8" customFormat="1"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4"/>
      <c r="AQ393" s="64"/>
      <c r="AR393" s="64"/>
      <c r="AS393" s="64"/>
      <c r="AT393" s="64"/>
    </row>
    <row r="394" spans="4:46" s="8" customFormat="1"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4"/>
      <c r="AQ394" s="64"/>
      <c r="AR394" s="64"/>
      <c r="AS394" s="64"/>
      <c r="AT394" s="64"/>
    </row>
    <row r="395" spans="4:46" s="8" customFormat="1"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4"/>
      <c r="AQ395" s="64"/>
      <c r="AR395" s="64"/>
      <c r="AS395" s="64"/>
      <c r="AT395" s="64"/>
    </row>
    <row r="396" spans="4:46" s="8" customFormat="1"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4"/>
      <c r="AQ396" s="64"/>
      <c r="AR396" s="64"/>
      <c r="AS396" s="64"/>
      <c r="AT396" s="64"/>
    </row>
    <row r="397" spans="4:46" s="8" customFormat="1"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4"/>
      <c r="AQ397" s="64"/>
      <c r="AR397" s="64"/>
      <c r="AS397" s="64"/>
      <c r="AT397" s="64"/>
    </row>
    <row r="398" spans="4:46" s="8" customFormat="1"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4"/>
      <c r="AQ398" s="64"/>
      <c r="AR398" s="64"/>
      <c r="AS398" s="64"/>
      <c r="AT398" s="64"/>
    </row>
    <row r="399" spans="4:46" s="8" customFormat="1"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4"/>
      <c r="AQ399" s="64"/>
      <c r="AR399" s="64"/>
      <c r="AS399" s="64"/>
      <c r="AT399" s="64"/>
    </row>
    <row r="400" spans="4:46" s="8" customFormat="1"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4"/>
      <c r="AQ400" s="64"/>
      <c r="AR400" s="64"/>
      <c r="AS400" s="64"/>
      <c r="AT400" s="64"/>
    </row>
    <row r="401" spans="4:46" s="8" customFormat="1"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4"/>
      <c r="AQ401" s="64"/>
      <c r="AR401" s="64"/>
      <c r="AS401" s="64"/>
      <c r="AT401" s="64"/>
    </row>
    <row r="402" spans="4:46" s="8" customFormat="1"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4"/>
      <c r="AQ402" s="64"/>
      <c r="AR402" s="64"/>
      <c r="AS402" s="64"/>
      <c r="AT402" s="64"/>
    </row>
  </sheetData>
  <sheetProtection algorithmName="SHA-512" hashValue="Zgnsv28MsDNJMA+Nyhm4gh59+WKwOkb0neIYPqhRB8qCVC2SMgz7CXhIfNaJOAY4jEk2DInieZ2brs3ZLXpXPw==" saltValue="Ad4b4hJF6+1Eu6vy0Wghaw==" spinCount="100000" sheet="1" objects="1" scenarios="1"/>
  <mergeCells count="8">
    <mergeCell ref="R80:S80"/>
    <mergeCell ref="B14:B15"/>
    <mergeCell ref="U4:AD4"/>
    <mergeCell ref="AF4:AM4"/>
    <mergeCell ref="Q61:S61"/>
    <mergeCell ref="Q68:S70"/>
    <mergeCell ref="B6:Q9"/>
    <mergeCell ref="E19:L20"/>
  </mergeCells>
  <conditionalFormatting sqref="N25:N32">
    <cfRule type="expression" dxfId="3" priority="5">
      <formula>D25+D25=0</formula>
    </cfRule>
  </conditionalFormatting>
  <conditionalFormatting sqref="C15">
    <cfRule type="expression" dxfId="2" priority="2">
      <formula>$C$13="BR-CORTE 2010"</formula>
    </cfRule>
    <cfRule type="expression" dxfId="1" priority="4">
      <formula>$C$14="Zebuíno"</formula>
    </cfRule>
  </conditionalFormatting>
  <dataValidations count="5">
    <dataValidation type="list" allowBlank="1" showInputMessage="1" showErrorMessage="1" sqref="C25:C32">
      <formula1>$B$1:$D$1</formula1>
    </dataValidation>
    <dataValidation type="list" allowBlank="1" showInputMessage="1" showErrorMessage="1" sqref="Q25:Q32">
      <formula1>$D$1:$F$1</formula1>
    </dataValidation>
    <dataValidation type="list" allowBlank="1" showInputMessage="1" showErrorMessage="1" sqref="C13">
      <formula1>$I$1:$J$1</formula1>
    </dataValidation>
    <dataValidation type="list" allowBlank="1" showErrorMessage="1" sqref="C14">
      <formula1>$P$1:$Q$1</formula1>
    </dataValidation>
    <dataValidation type="list" allowBlank="1" showInputMessage="1" showErrorMessage="1" sqref="C15">
      <formula1>$M$1:$N$1</formula1>
    </dataValidation>
  </dataValidations>
  <pageMargins left="0.7" right="0.7" top="0.75" bottom="0.75" header="0.3" footer="0.3"/>
  <pageSetup orientation="portrait" horizontalDpi="0" verticalDpi="0" r:id="rId1"/>
  <ignoredErrors>
    <ignoredError sqref="E14 G14:I14 G16 H68:H69 H70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Predição de valor energético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Microsoft Office</dc:creator>
  <cp:lastModifiedBy>Laura Franco Prados</cp:lastModifiedBy>
  <dcterms:created xsi:type="dcterms:W3CDTF">2016-10-24T16:42:00Z</dcterms:created>
  <dcterms:modified xsi:type="dcterms:W3CDTF">2016-10-28T16:37:33Z</dcterms:modified>
</cp:coreProperties>
</file>